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4930" windowHeight="11385" tabRatio="881" firstSheet="1" activeTab="1"/>
  </bookViews>
  <sheets>
    <sheet name="Display" sheetId="48" state="hidden" r:id="rId1"/>
    <sheet name="Guide" sheetId="39" r:id="rId2"/>
    <sheet name="Sources" sheetId="40" r:id="rId3"/>
    <sheet name="Population" sheetId="32" r:id="rId4"/>
    <sheet name="Labour Force" sheetId="41" r:id="rId5"/>
    <sheet name="Exogenous" sheetId="3" r:id="rId6"/>
    <sheet name="NZS Fund Adjuster" sheetId="25" r:id="rId7"/>
    <sheet name="Fiscal Forecast Adjuster" sheetId="26" r:id="rId8"/>
    <sheet name="Fiscal Outturns" sheetId="17" r:id="rId9"/>
    <sheet name="Economic Forecasts" sheetId="62" r:id="rId10"/>
    <sheet name="Fiscal Forecasts" sheetId="65" r:id="rId11"/>
    <sheet name="Assumptions" sheetId="60" r:id="rId12"/>
    <sheet name="2018 BEFU FSM" sheetId="64" r:id="rId13"/>
    <sheet name="Option" sheetId="61" r:id="rId14"/>
  </sheets>
  <calcPr calcId="152511"/>
</workbook>
</file>

<file path=xl/calcChain.xml><?xml version="1.0" encoding="utf-8"?>
<calcChain xmlns="http://schemas.openxmlformats.org/spreadsheetml/2006/main">
  <c r="M432" i="64" l="1"/>
  <c r="N432" i="64"/>
  <c r="O432" i="64"/>
  <c r="P432" i="64"/>
  <c r="Q432" i="64"/>
  <c r="R432" i="64"/>
  <c r="S432" i="64"/>
  <c r="T432" i="64"/>
  <c r="U432" i="64"/>
  <c r="M433" i="64"/>
  <c r="N433" i="64"/>
  <c r="O433" i="64"/>
  <c r="P433" i="64"/>
  <c r="Q433" i="64"/>
  <c r="R433" i="64"/>
  <c r="S433" i="64"/>
  <c r="T433" i="64"/>
  <c r="U433" i="64"/>
  <c r="M434" i="64"/>
  <c r="N434" i="64"/>
  <c r="O434" i="64"/>
  <c r="P434" i="64"/>
  <c r="Q434" i="64"/>
  <c r="R434" i="64"/>
  <c r="S434" i="64"/>
  <c r="T434" i="64"/>
  <c r="U434" i="64"/>
  <c r="N435" i="64"/>
  <c r="O435" i="64"/>
  <c r="P435" i="64"/>
  <c r="Q435" i="64"/>
  <c r="R435" i="64"/>
  <c r="S435" i="64"/>
  <c r="T435" i="64"/>
  <c r="U435" i="64"/>
  <c r="O436" i="64"/>
  <c r="P436" i="64"/>
  <c r="Q436" i="64"/>
  <c r="R436" i="64"/>
  <c r="S436" i="64"/>
  <c r="T436" i="64"/>
  <c r="U436" i="64"/>
  <c r="P437" i="64"/>
  <c r="Q437" i="64"/>
  <c r="R437" i="64"/>
  <c r="S437" i="64"/>
  <c r="T437" i="64"/>
  <c r="U437" i="64"/>
  <c r="L432" i="64"/>
  <c r="H437" i="61" l="1"/>
  <c r="I437" i="61"/>
  <c r="J437" i="61"/>
  <c r="K437" i="61"/>
  <c r="G437" i="61"/>
  <c r="H436" i="61"/>
  <c r="I436" i="61"/>
  <c r="J436" i="61"/>
  <c r="K436" i="61"/>
  <c r="G436" i="61"/>
  <c r="H435" i="61"/>
  <c r="I435" i="61"/>
  <c r="J435" i="61"/>
  <c r="K435" i="61"/>
  <c r="G435" i="61"/>
  <c r="H434" i="61"/>
  <c r="I434" i="61"/>
  <c r="J434" i="61"/>
  <c r="K434" i="61"/>
  <c r="G434" i="61"/>
  <c r="L433" i="64"/>
  <c r="I433" i="61"/>
  <c r="J433" i="61"/>
  <c r="K433" i="61"/>
  <c r="H433" i="61"/>
  <c r="G433" i="61"/>
  <c r="B433" i="61"/>
  <c r="D432" i="61"/>
  <c r="E432" i="61"/>
  <c r="D433" i="61"/>
  <c r="E433" i="61"/>
  <c r="D434" i="61"/>
  <c r="E434" i="61"/>
  <c r="D435" i="61"/>
  <c r="E435" i="61"/>
  <c r="D436" i="61"/>
  <c r="E436" i="61"/>
  <c r="D437" i="61"/>
  <c r="E437" i="61"/>
  <c r="F433" i="61"/>
  <c r="D432" i="64"/>
  <c r="E432" i="64"/>
  <c r="D433" i="64"/>
  <c r="E433" i="64"/>
  <c r="D434" i="64"/>
  <c r="E434" i="64"/>
  <c r="D435" i="64"/>
  <c r="E435" i="64"/>
  <c r="D436" i="64"/>
  <c r="E436" i="64"/>
  <c r="D437" i="64"/>
  <c r="E437" i="64"/>
  <c r="H433" i="64"/>
  <c r="I433" i="64"/>
  <c r="J433" i="64"/>
  <c r="K433" i="64"/>
  <c r="G433" i="64"/>
  <c r="F433" i="64"/>
  <c r="B433" i="64"/>
  <c r="B277" i="65" l="1"/>
  <c r="M389" i="61" l="1"/>
  <c r="N389" i="61"/>
  <c r="O389" i="61"/>
  <c r="P389" i="61"/>
  <c r="Q389" i="61"/>
  <c r="R389" i="61"/>
  <c r="S389" i="61"/>
  <c r="T389" i="61"/>
  <c r="U389" i="61"/>
  <c r="M390" i="61"/>
  <c r="N390" i="61"/>
  <c r="O390" i="61"/>
  <c r="P390" i="61"/>
  <c r="Q390" i="61"/>
  <c r="R390" i="61"/>
  <c r="S390" i="61"/>
  <c r="T390" i="61"/>
  <c r="U390" i="61"/>
  <c r="M391" i="61"/>
  <c r="N391" i="61"/>
  <c r="O391" i="61"/>
  <c r="P391" i="61"/>
  <c r="Q391" i="61"/>
  <c r="R391" i="61"/>
  <c r="S391" i="61"/>
  <c r="T391" i="61"/>
  <c r="U391" i="61"/>
  <c r="M392" i="61"/>
  <c r="N392" i="61"/>
  <c r="O392" i="61"/>
  <c r="P392" i="61"/>
  <c r="Q392" i="61"/>
  <c r="R392" i="61"/>
  <c r="S392" i="61"/>
  <c r="T392" i="61"/>
  <c r="U392" i="61"/>
  <c r="M393" i="61"/>
  <c r="N393" i="61"/>
  <c r="O393" i="61"/>
  <c r="P393" i="61"/>
  <c r="Q393" i="61"/>
  <c r="R393" i="61"/>
  <c r="S393" i="61"/>
  <c r="T393" i="61"/>
  <c r="U393" i="61"/>
  <c r="M394" i="61"/>
  <c r="N394" i="61"/>
  <c r="O394" i="61"/>
  <c r="P394" i="61"/>
  <c r="Q394" i="61"/>
  <c r="R394" i="61"/>
  <c r="S394" i="61"/>
  <c r="T394" i="61"/>
  <c r="U394" i="61"/>
  <c r="L394" i="61"/>
  <c r="L393" i="61"/>
  <c r="L392" i="61"/>
  <c r="L391" i="61"/>
  <c r="L390" i="61"/>
  <c r="L389" i="61"/>
  <c r="B250" i="65" l="1"/>
  <c r="B249" i="65"/>
  <c r="B248" i="65"/>
  <c r="T20" i="25" l="1"/>
  <c r="U20" i="25"/>
  <c r="V20" i="25"/>
  <c r="W20" i="25"/>
  <c r="X20" i="25"/>
  <c r="Y20" i="25"/>
  <c r="Z20" i="25"/>
  <c r="AA20" i="25"/>
  <c r="AB20" i="25"/>
  <c r="T22" i="25"/>
  <c r="U22" i="25"/>
  <c r="V22" i="25"/>
  <c r="W22" i="25"/>
  <c r="X22" i="25"/>
  <c r="Y22" i="25"/>
  <c r="Z22" i="25"/>
  <c r="AA22" i="25"/>
  <c r="AB22" i="25"/>
  <c r="T25" i="25"/>
  <c r="U25" i="25"/>
  <c r="V25" i="25"/>
  <c r="W25" i="25"/>
  <c r="X25" i="25"/>
  <c r="Y25" i="25"/>
  <c r="Z25" i="25"/>
  <c r="AA25" i="25"/>
  <c r="AB25" i="25"/>
  <c r="T26" i="25"/>
  <c r="U26" i="25"/>
  <c r="V26" i="25"/>
  <c r="W26" i="25"/>
  <c r="X26" i="25"/>
  <c r="Y26" i="25"/>
  <c r="Z26" i="25"/>
  <c r="AA26" i="25"/>
  <c r="AB26" i="25"/>
  <c r="S26" i="25"/>
  <c r="S25" i="25"/>
  <c r="S22" i="25"/>
  <c r="S20" i="25"/>
  <c r="O20" i="25"/>
  <c r="P20" i="25"/>
  <c r="Q20" i="25"/>
  <c r="R20" i="25"/>
  <c r="O22" i="25"/>
  <c r="P22" i="25"/>
  <c r="Q22" i="25"/>
  <c r="R22" i="25"/>
  <c r="O25" i="25"/>
  <c r="P25" i="25"/>
  <c r="Q25" i="25"/>
  <c r="R25" i="25"/>
  <c r="O26" i="25"/>
  <c r="P26" i="25"/>
  <c r="Q26" i="25"/>
  <c r="R26" i="25"/>
  <c r="N26" i="25"/>
  <c r="N25" i="25"/>
  <c r="N22" i="25"/>
  <c r="N20" i="25"/>
  <c r="O6" i="25" l="1"/>
  <c r="P6" i="25"/>
  <c r="Q6" i="25"/>
  <c r="R6" i="25"/>
  <c r="N6" i="25"/>
  <c r="D6" i="26"/>
  <c r="E6" i="26"/>
  <c r="F6" i="26"/>
  <c r="G6" i="26"/>
  <c r="C6" i="26"/>
  <c r="C9" i="17"/>
  <c r="D9" i="17"/>
  <c r="E9" i="17"/>
  <c r="F9" i="17"/>
  <c r="G9" i="17"/>
  <c r="H9" i="17"/>
  <c r="I9" i="17"/>
  <c r="J9" i="17"/>
  <c r="K9" i="17"/>
  <c r="L9" i="17"/>
  <c r="M9" i="17"/>
  <c r="N9" i="17"/>
  <c r="B9" i="17"/>
  <c r="F434" i="61" l="1"/>
  <c r="F435" i="61"/>
  <c r="F436" i="61"/>
  <c r="F437" i="61"/>
  <c r="U371" i="61" l="1"/>
  <c r="T371" i="61"/>
  <c r="S371" i="61"/>
  <c r="R371" i="61"/>
  <c r="Q371" i="61"/>
  <c r="P371" i="61"/>
  <c r="O371" i="61"/>
  <c r="N371" i="61"/>
  <c r="M371" i="61"/>
  <c r="L371" i="61"/>
  <c r="U367" i="61"/>
  <c r="T367" i="61"/>
  <c r="S367" i="61"/>
  <c r="R367" i="61"/>
  <c r="Q367" i="61"/>
  <c r="P367" i="61"/>
  <c r="O367" i="61"/>
  <c r="N367" i="61"/>
  <c r="M367" i="61"/>
  <c r="L367" i="61"/>
  <c r="K264" i="61"/>
  <c r="J264" i="61"/>
  <c r="I264" i="61"/>
  <c r="H264" i="61"/>
  <c r="G264" i="61"/>
  <c r="F264" i="61"/>
  <c r="E264" i="61"/>
  <c r="D264" i="61"/>
  <c r="F533" i="61"/>
  <c r="E533" i="61"/>
  <c r="D533" i="61"/>
  <c r="F532" i="61"/>
  <c r="E532" i="61"/>
  <c r="D532" i="61"/>
  <c r="F526" i="61"/>
  <c r="E526" i="61"/>
  <c r="D526" i="61"/>
  <c r="F525" i="61"/>
  <c r="E525" i="61"/>
  <c r="D525" i="61"/>
  <c r="K495" i="61"/>
  <c r="J495" i="61"/>
  <c r="I495" i="61"/>
  <c r="H495" i="61"/>
  <c r="G495" i="61"/>
  <c r="F495" i="61"/>
  <c r="E495" i="61"/>
  <c r="D495" i="61"/>
  <c r="K493" i="61"/>
  <c r="J493" i="61"/>
  <c r="I493" i="61"/>
  <c r="H493" i="61"/>
  <c r="G493" i="61"/>
  <c r="F493" i="61"/>
  <c r="E493" i="61"/>
  <c r="D493" i="61"/>
  <c r="F492" i="61"/>
  <c r="E492" i="61"/>
  <c r="D492" i="61"/>
  <c r="K485" i="61"/>
  <c r="J485" i="61"/>
  <c r="I485" i="61"/>
  <c r="H485" i="61"/>
  <c r="G485" i="61"/>
  <c r="F485" i="61"/>
  <c r="E485" i="61"/>
  <c r="D485" i="61"/>
  <c r="K484" i="61"/>
  <c r="J484" i="61"/>
  <c r="I484" i="61"/>
  <c r="H484" i="61"/>
  <c r="G484" i="61"/>
  <c r="F484" i="61"/>
  <c r="E484" i="61"/>
  <c r="D484" i="61"/>
  <c r="K483" i="61"/>
  <c r="J483" i="61"/>
  <c r="I483" i="61"/>
  <c r="H483" i="61"/>
  <c r="G483" i="61"/>
  <c r="F483" i="61"/>
  <c r="E483" i="61"/>
  <c r="D483" i="61"/>
  <c r="K479" i="61"/>
  <c r="J479" i="61"/>
  <c r="I479" i="61"/>
  <c r="H479" i="61"/>
  <c r="G479" i="61"/>
  <c r="F479" i="61"/>
  <c r="E479" i="61"/>
  <c r="D479" i="61"/>
  <c r="K478" i="61"/>
  <c r="J478" i="61"/>
  <c r="I478" i="61"/>
  <c r="H478" i="61"/>
  <c r="G478" i="61"/>
  <c r="F478" i="61"/>
  <c r="E478" i="61"/>
  <c r="D478" i="61"/>
  <c r="K477" i="61"/>
  <c r="J477" i="61"/>
  <c r="I477" i="61"/>
  <c r="H477" i="61"/>
  <c r="G477" i="61"/>
  <c r="F477" i="61"/>
  <c r="E477" i="61"/>
  <c r="D477" i="61"/>
  <c r="K476" i="61"/>
  <c r="J476" i="61"/>
  <c r="I476" i="61"/>
  <c r="H476" i="61"/>
  <c r="G476" i="61"/>
  <c r="F476" i="61"/>
  <c r="E476" i="61"/>
  <c r="D476" i="61"/>
  <c r="K475" i="61"/>
  <c r="J475" i="61"/>
  <c r="I475" i="61"/>
  <c r="H475" i="61"/>
  <c r="G475" i="61"/>
  <c r="F475" i="61"/>
  <c r="E475" i="61"/>
  <c r="D475" i="61"/>
  <c r="K474" i="61"/>
  <c r="J474" i="61"/>
  <c r="I474" i="61"/>
  <c r="H474" i="61"/>
  <c r="G474" i="61"/>
  <c r="F474" i="61"/>
  <c r="E474" i="61"/>
  <c r="D474" i="61"/>
  <c r="K471" i="61"/>
  <c r="J471" i="61"/>
  <c r="I471" i="61"/>
  <c r="H471" i="61"/>
  <c r="G471" i="61"/>
  <c r="F471" i="61"/>
  <c r="E471" i="61"/>
  <c r="D471" i="61"/>
  <c r="K470" i="61"/>
  <c r="J470" i="61"/>
  <c r="I470" i="61"/>
  <c r="H470" i="61"/>
  <c r="G470" i="61"/>
  <c r="F470" i="61"/>
  <c r="E470" i="61"/>
  <c r="D470" i="61"/>
  <c r="K465" i="61"/>
  <c r="K466" i="61" s="1"/>
  <c r="J465" i="61"/>
  <c r="J466" i="61" s="1"/>
  <c r="I465" i="61"/>
  <c r="I466" i="61" s="1"/>
  <c r="H465" i="61"/>
  <c r="H466" i="61" s="1"/>
  <c r="G465" i="61"/>
  <c r="G466" i="61" s="1"/>
  <c r="F465" i="61"/>
  <c r="F466" i="61" s="1"/>
  <c r="E465" i="61"/>
  <c r="E466" i="61" s="1"/>
  <c r="D465" i="61"/>
  <c r="D466" i="61" s="1"/>
  <c r="K460" i="61"/>
  <c r="L460" i="61" s="1"/>
  <c r="M460" i="61" s="1"/>
  <c r="N460" i="61" s="1"/>
  <c r="O460" i="61" s="1"/>
  <c r="P460" i="61" s="1"/>
  <c r="Q460" i="61" s="1"/>
  <c r="R460" i="61" s="1"/>
  <c r="S460" i="61" s="1"/>
  <c r="T460" i="61" s="1"/>
  <c r="U460" i="61" s="1"/>
  <c r="J460" i="61"/>
  <c r="I460" i="61"/>
  <c r="H460" i="61"/>
  <c r="G460" i="61"/>
  <c r="F460" i="61"/>
  <c r="E460" i="61"/>
  <c r="D460" i="61"/>
  <c r="K459" i="61"/>
  <c r="K461" i="61" s="1"/>
  <c r="J459" i="61"/>
  <c r="J461" i="61" s="1"/>
  <c r="I459" i="61"/>
  <c r="I461" i="61" s="1"/>
  <c r="H459" i="61"/>
  <c r="H461" i="61" s="1"/>
  <c r="G459" i="61"/>
  <c r="G461" i="61" s="1"/>
  <c r="F459" i="61"/>
  <c r="F461" i="61" s="1"/>
  <c r="E459" i="61"/>
  <c r="E461" i="61" s="1"/>
  <c r="D459" i="61"/>
  <c r="D461" i="61" s="1"/>
  <c r="K456" i="61"/>
  <c r="J456" i="61"/>
  <c r="I456" i="61"/>
  <c r="H456" i="61"/>
  <c r="G456" i="61"/>
  <c r="F456" i="61"/>
  <c r="E456" i="61"/>
  <c r="D456" i="61"/>
  <c r="K455" i="61"/>
  <c r="J455" i="61"/>
  <c r="I455" i="61"/>
  <c r="H455" i="61"/>
  <c r="G455" i="61"/>
  <c r="F455" i="61"/>
  <c r="E455" i="61"/>
  <c r="D455" i="61"/>
  <c r="K452" i="61"/>
  <c r="J452" i="61"/>
  <c r="I452" i="61"/>
  <c r="H452" i="61"/>
  <c r="G452" i="61"/>
  <c r="F452" i="61"/>
  <c r="E452" i="61"/>
  <c r="D452" i="61"/>
  <c r="K449" i="61"/>
  <c r="J449" i="61"/>
  <c r="I449" i="61"/>
  <c r="H449" i="61"/>
  <c r="G449" i="61"/>
  <c r="F449" i="61"/>
  <c r="E449" i="61"/>
  <c r="D449" i="61"/>
  <c r="K445" i="61"/>
  <c r="J445" i="61"/>
  <c r="I445" i="61"/>
  <c r="H445" i="61"/>
  <c r="G445" i="61"/>
  <c r="F445" i="61"/>
  <c r="E445" i="61"/>
  <c r="D445" i="61"/>
  <c r="K442" i="61"/>
  <c r="J442" i="61"/>
  <c r="I442" i="61"/>
  <c r="H442" i="61"/>
  <c r="G442" i="61"/>
  <c r="F442" i="61"/>
  <c r="E442" i="61"/>
  <c r="D442" i="61"/>
  <c r="F441" i="61"/>
  <c r="E441" i="61"/>
  <c r="D441" i="61"/>
  <c r="K440" i="61"/>
  <c r="J440" i="61"/>
  <c r="I440" i="61"/>
  <c r="H440" i="61"/>
  <c r="G440" i="61"/>
  <c r="F440" i="61"/>
  <c r="E440" i="61"/>
  <c r="D440" i="61"/>
  <c r="K432" i="61"/>
  <c r="J432" i="61"/>
  <c r="I432" i="61"/>
  <c r="H432" i="61"/>
  <c r="G432" i="61"/>
  <c r="F432" i="61"/>
  <c r="K428" i="61"/>
  <c r="J428" i="61"/>
  <c r="I428" i="61"/>
  <c r="H428" i="61"/>
  <c r="G428" i="61"/>
  <c r="F428" i="61"/>
  <c r="E428" i="61"/>
  <c r="D428" i="61"/>
  <c r="K427" i="61"/>
  <c r="J427" i="61"/>
  <c r="I427" i="61"/>
  <c r="H427" i="61"/>
  <c r="G427" i="61"/>
  <c r="F427" i="61"/>
  <c r="E427" i="61"/>
  <c r="D427" i="61"/>
  <c r="K426" i="61"/>
  <c r="J426" i="61"/>
  <c r="I426" i="61"/>
  <c r="H426" i="61"/>
  <c r="G426" i="61"/>
  <c r="F426" i="61"/>
  <c r="E426" i="61"/>
  <c r="D426" i="61"/>
  <c r="K423" i="61"/>
  <c r="J423" i="61"/>
  <c r="I423" i="61"/>
  <c r="H423" i="61"/>
  <c r="G423" i="61"/>
  <c r="F423" i="61"/>
  <c r="E423" i="61"/>
  <c r="D423" i="61"/>
  <c r="K417" i="61"/>
  <c r="J417" i="61"/>
  <c r="I417" i="61"/>
  <c r="H417" i="61"/>
  <c r="G417" i="61"/>
  <c r="F417" i="61"/>
  <c r="E417" i="61"/>
  <c r="D417" i="61"/>
  <c r="K416" i="61"/>
  <c r="J416" i="61"/>
  <c r="I416" i="61"/>
  <c r="H416" i="61"/>
  <c r="G416" i="61"/>
  <c r="F416" i="61"/>
  <c r="E416" i="61"/>
  <c r="D416" i="61"/>
  <c r="K415" i="61"/>
  <c r="J415" i="61"/>
  <c r="I415" i="61"/>
  <c r="H415" i="61"/>
  <c r="G415" i="61"/>
  <c r="F415" i="61"/>
  <c r="E415" i="61"/>
  <c r="D415" i="61"/>
  <c r="K414" i="61"/>
  <c r="J414" i="61"/>
  <c r="I414" i="61"/>
  <c r="H414" i="61"/>
  <c r="G414" i="61"/>
  <c r="F414" i="61"/>
  <c r="E414" i="61"/>
  <c r="D414" i="61"/>
  <c r="K410" i="61"/>
  <c r="J410" i="61"/>
  <c r="I410" i="61"/>
  <c r="H410" i="61"/>
  <c r="G410" i="61"/>
  <c r="F410" i="61"/>
  <c r="E410" i="61"/>
  <c r="D410" i="61"/>
  <c r="K409" i="61"/>
  <c r="J409" i="61"/>
  <c r="I409" i="61"/>
  <c r="H409" i="61"/>
  <c r="G409" i="61"/>
  <c r="F409" i="61"/>
  <c r="E409" i="61"/>
  <c r="D409" i="61"/>
  <c r="C408" i="61"/>
  <c r="K403" i="61"/>
  <c r="J403" i="61"/>
  <c r="I403" i="61"/>
  <c r="H403" i="61"/>
  <c r="G403" i="61"/>
  <c r="F403" i="61"/>
  <c r="E403" i="61"/>
  <c r="D403" i="61"/>
  <c r="K399" i="61"/>
  <c r="J399" i="61"/>
  <c r="I399" i="61"/>
  <c r="H399" i="61"/>
  <c r="G399" i="61"/>
  <c r="F399" i="61"/>
  <c r="E399" i="61"/>
  <c r="E398" i="61" s="1"/>
  <c r="E402" i="61" s="1"/>
  <c r="D399" i="61"/>
  <c r="K398" i="61"/>
  <c r="K402" i="61" s="1"/>
  <c r="J398" i="61"/>
  <c r="J402" i="61" s="1"/>
  <c r="I398" i="61"/>
  <c r="I402" i="61" s="1"/>
  <c r="H398" i="61"/>
  <c r="H402" i="61" s="1"/>
  <c r="G398" i="61"/>
  <c r="G402" i="61" s="1"/>
  <c r="F398" i="61"/>
  <c r="F402" i="61" s="1"/>
  <c r="D398" i="61"/>
  <c r="D402" i="61" s="1"/>
  <c r="C395" i="61"/>
  <c r="K394" i="61"/>
  <c r="J394" i="61"/>
  <c r="I394" i="61"/>
  <c r="H394" i="61"/>
  <c r="G394" i="61"/>
  <c r="F394" i="61"/>
  <c r="E394" i="61"/>
  <c r="D394" i="61"/>
  <c r="K393" i="61"/>
  <c r="J393" i="61"/>
  <c r="I393" i="61"/>
  <c r="H393" i="61"/>
  <c r="G393" i="61"/>
  <c r="F393" i="61"/>
  <c r="E393" i="61"/>
  <c r="D393" i="61"/>
  <c r="K392" i="61"/>
  <c r="J392" i="61"/>
  <c r="I392" i="61"/>
  <c r="H392" i="61"/>
  <c r="G392" i="61"/>
  <c r="F392" i="61"/>
  <c r="E392" i="61"/>
  <c r="D392" i="61"/>
  <c r="K391" i="61"/>
  <c r="J391" i="61"/>
  <c r="I391" i="61"/>
  <c r="H391" i="61"/>
  <c r="G391" i="61"/>
  <c r="F391" i="61"/>
  <c r="E391" i="61"/>
  <c r="D391" i="61"/>
  <c r="K390" i="61"/>
  <c r="J390" i="61"/>
  <c r="I390" i="61"/>
  <c r="H390" i="61"/>
  <c r="G390" i="61"/>
  <c r="F390" i="61"/>
  <c r="E390" i="61"/>
  <c r="D390" i="61"/>
  <c r="K389" i="61"/>
  <c r="J389" i="61"/>
  <c r="I389" i="61"/>
  <c r="H389" i="61"/>
  <c r="G389" i="61"/>
  <c r="F389" i="61"/>
  <c r="E389" i="61"/>
  <c r="D389" i="61"/>
  <c r="K384" i="61"/>
  <c r="J384" i="61"/>
  <c r="I384" i="61"/>
  <c r="H384" i="61"/>
  <c r="G384" i="61"/>
  <c r="F384" i="61"/>
  <c r="E384" i="61"/>
  <c r="D384" i="61"/>
  <c r="F377" i="61"/>
  <c r="E377" i="61"/>
  <c r="D377" i="61"/>
  <c r="F376" i="61"/>
  <c r="E376" i="61"/>
  <c r="D376" i="61"/>
  <c r="F375" i="61"/>
  <c r="E375" i="61"/>
  <c r="D375" i="61"/>
  <c r="C373" i="61"/>
  <c r="K372" i="61"/>
  <c r="J372" i="61"/>
  <c r="I372" i="61"/>
  <c r="H372" i="61"/>
  <c r="G372" i="61"/>
  <c r="F372" i="61"/>
  <c r="E372" i="61"/>
  <c r="D372" i="61"/>
  <c r="K371" i="61"/>
  <c r="J371" i="61"/>
  <c r="I371" i="61"/>
  <c r="H371" i="61"/>
  <c r="G371" i="61"/>
  <c r="F371" i="61"/>
  <c r="E371" i="61"/>
  <c r="D371" i="61"/>
  <c r="F369" i="61"/>
  <c r="E369" i="61"/>
  <c r="D369" i="61"/>
  <c r="F368" i="61"/>
  <c r="E368" i="61"/>
  <c r="D368" i="61"/>
  <c r="K367" i="61"/>
  <c r="J367" i="61"/>
  <c r="I367" i="61"/>
  <c r="H367" i="61"/>
  <c r="G367" i="61"/>
  <c r="F367" i="61"/>
  <c r="E367" i="61"/>
  <c r="D367" i="61"/>
  <c r="F366" i="61"/>
  <c r="E366" i="61"/>
  <c r="D366" i="61"/>
  <c r="K361" i="61"/>
  <c r="J361" i="61"/>
  <c r="I361" i="61"/>
  <c r="H361" i="61"/>
  <c r="G361" i="61"/>
  <c r="F361" i="61"/>
  <c r="E361" i="61"/>
  <c r="D361" i="61"/>
  <c r="K360" i="61"/>
  <c r="L360" i="61" s="1"/>
  <c r="M360" i="61" s="1"/>
  <c r="N360" i="61" s="1"/>
  <c r="O360" i="61" s="1"/>
  <c r="P360" i="61" s="1"/>
  <c r="Q360" i="61" s="1"/>
  <c r="R360" i="61" s="1"/>
  <c r="S360" i="61" s="1"/>
  <c r="T360" i="61" s="1"/>
  <c r="U360" i="61" s="1"/>
  <c r="J360" i="61"/>
  <c r="I360" i="61"/>
  <c r="H360" i="61"/>
  <c r="G360" i="61"/>
  <c r="F360" i="61"/>
  <c r="E360" i="61"/>
  <c r="D360" i="61"/>
  <c r="K352" i="61"/>
  <c r="J352" i="61"/>
  <c r="I352" i="61"/>
  <c r="H352" i="61"/>
  <c r="G352" i="61"/>
  <c r="F352" i="61"/>
  <c r="E352" i="61"/>
  <c r="D352" i="61"/>
  <c r="K351" i="61"/>
  <c r="L351" i="61" s="1"/>
  <c r="M351" i="61" s="1"/>
  <c r="N351" i="61" s="1"/>
  <c r="O351" i="61" s="1"/>
  <c r="P351" i="61" s="1"/>
  <c r="Q351" i="61" s="1"/>
  <c r="R351" i="61" s="1"/>
  <c r="S351" i="61" s="1"/>
  <c r="T351" i="61" s="1"/>
  <c r="U351" i="61" s="1"/>
  <c r="J351" i="61"/>
  <c r="I351" i="61"/>
  <c r="H351" i="61"/>
  <c r="G351" i="61"/>
  <c r="F351" i="61"/>
  <c r="E351" i="61"/>
  <c r="D351" i="61"/>
  <c r="K345" i="61"/>
  <c r="J345" i="61"/>
  <c r="I345" i="61"/>
  <c r="H345" i="61"/>
  <c r="G345" i="61"/>
  <c r="F345" i="61"/>
  <c r="E345" i="61"/>
  <c r="D345" i="61"/>
  <c r="K342" i="61"/>
  <c r="J342" i="61"/>
  <c r="I342" i="61"/>
  <c r="H342" i="61"/>
  <c r="G342" i="61"/>
  <c r="F342" i="61"/>
  <c r="E342" i="61"/>
  <c r="D342" i="61"/>
  <c r="K338" i="61"/>
  <c r="J338" i="61"/>
  <c r="I338" i="61"/>
  <c r="H338" i="61"/>
  <c r="G338" i="61"/>
  <c r="F338" i="61"/>
  <c r="E338" i="61"/>
  <c r="D338" i="61"/>
  <c r="K332" i="61"/>
  <c r="J332" i="61"/>
  <c r="I332" i="61"/>
  <c r="H332" i="61"/>
  <c r="G332" i="61"/>
  <c r="F332" i="61"/>
  <c r="E332" i="61"/>
  <c r="D332" i="61"/>
  <c r="K331" i="61"/>
  <c r="J331" i="61"/>
  <c r="I331" i="61"/>
  <c r="H331" i="61"/>
  <c r="G331" i="61"/>
  <c r="F331" i="61"/>
  <c r="E331" i="61"/>
  <c r="D331" i="61"/>
  <c r="K326" i="61"/>
  <c r="J326" i="61"/>
  <c r="I326" i="61"/>
  <c r="H326" i="61"/>
  <c r="G326" i="61"/>
  <c r="F326" i="61"/>
  <c r="E326" i="61"/>
  <c r="D326" i="61"/>
  <c r="K325" i="61"/>
  <c r="L325" i="61" s="1"/>
  <c r="M325" i="61" s="1"/>
  <c r="N325" i="61" s="1"/>
  <c r="O325" i="61" s="1"/>
  <c r="P325" i="61" s="1"/>
  <c r="Q325" i="61" s="1"/>
  <c r="R325" i="61" s="1"/>
  <c r="S325" i="61" s="1"/>
  <c r="T325" i="61" s="1"/>
  <c r="U325" i="61" s="1"/>
  <c r="J325" i="61"/>
  <c r="I325" i="61"/>
  <c r="H325" i="61"/>
  <c r="G325" i="61"/>
  <c r="F325" i="61"/>
  <c r="E325" i="61"/>
  <c r="D325" i="61"/>
  <c r="K319" i="61"/>
  <c r="J319" i="61"/>
  <c r="I319" i="61"/>
  <c r="H319" i="61"/>
  <c r="G319" i="61"/>
  <c r="F319" i="61"/>
  <c r="E319" i="61"/>
  <c r="D319" i="61"/>
  <c r="K318" i="61"/>
  <c r="J318" i="61"/>
  <c r="I318" i="61"/>
  <c r="H318" i="61"/>
  <c r="G318" i="61"/>
  <c r="F318" i="61"/>
  <c r="E318" i="61"/>
  <c r="D318" i="61"/>
  <c r="K317" i="61"/>
  <c r="J317" i="61"/>
  <c r="I317" i="61"/>
  <c r="H317" i="61"/>
  <c r="G317" i="61"/>
  <c r="F317" i="61"/>
  <c r="E317" i="61"/>
  <c r="D317" i="61"/>
  <c r="K311" i="61"/>
  <c r="J311" i="61"/>
  <c r="I311" i="61"/>
  <c r="H311" i="61"/>
  <c r="G311" i="61"/>
  <c r="F311" i="61"/>
  <c r="E311" i="61"/>
  <c r="D311" i="61"/>
  <c r="K310" i="61"/>
  <c r="J310" i="61"/>
  <c r="I310" i="61"/>
  <c r="H310" i="61"/>
  <c r="G310" i="61"/>
  <c r="F310" i="61"/>
  <c r="E310" i="61"/>
  <c r="D310" i="61"/>
  <c r="K307" i="61"/>
  <c r="J307" i="61"/>
  <c r="I307" i="61"/>
  <c r="H307" i="61"/>
  <c r="G307" i="61"/>
  <c r="F307" i="61"/>
  <c r="E307" i="61"/>
  <c r="D307" i="61"/>
  <c r="K304" i="61"/>
  <c r="K305" i="61" s="1"/>
  <c r="J304" i="61"/>
  <c r="J305" i="61" s="1"/>
  <c r="I304" i="61"/>
  <c r="I305" i="61" s="1"/>
  <c r="H304" i="61"/>
  <c r="H305" i="61" s="1"/>
  <c r="G304" i="61"/>
  <c r="G305" i="61" s="1"/>
  <c r="F304" i="61"/>
  <c r="F305" i="61" s="1"/>
  <c r="E304" i="61"/>
  <c r="E305" i="61" s="1"/>
  <c r="D304" i="61"/>
  <c r="D305" i="61" s="1"/>
  <c r="K301" i="61"/>
  <c r="J301" i="61"/>
  <c r="I301" i="61"/>
  <c r="H301" i="61"/>
  <c r="G301" i="61"/>
  <c r="F301" i="61"/>
  <c r="E301" i="61"/>
  <c r="D301" i="61"/>
  <c r="K300" i="61"/>
  <c r="J300" i="61"/>
  <c r="I300" i="61"/>
  <c r="H300" i="61"/>
  <c r="G300" i="61"/>
  <c r="F300" i="61"/>
  <c r="E300" i="61"/>
  <c r="D300" i="61"/>
  <c r="K297" i="61"/>
  <c r="J297" i="61"/>
  <c r="I297" i="61"/>
  <c r="H297" i="61"/>
  <c r="G297" i="61"/>
  <c r="F297" i="61"/>
  <c r="E297" i="61"/>
  <c r="D297" i="61"/>
  <c r="K296" i="61"/>
  <c r="J296" i="61"/>
  <c r="I296" i="61"/>
  <c r="H296" i="61"/>
  <c r="G296" i="61"/>
  <c r="F296" i="61"/>
  <c r="E296" i="61"/>
  <c r="D296" i="61"/>
  <c r="K293" i="61"/>
  <c r="J293" i="61"/>
  <c r="I293" i="61"/>
  <c r="H293" i="61"/>
  <c r="G293" i="61"/>
  <c r="F293" i="61"/>
  <c r="E293" i="61"/>
  <c r="D293" i="61"/>
  <c r="K292" i="61"/>
  <c r="J292" i="61"/>
  <c r="I292" i="61"/>
  <c r="H292" i="61"/>
  <c r="G292" i="61"/>
  <c r="F292" i="61"/>
  <c r="E292" i="61"/>
  <c r="D292" i="61"/>
  <c r="K289" i="61"/>
  <c r="J289" i="61"/>
  <c r="I289" i="61"/>
  <c r="H289" i="61"/>
  <c r="G289" i="61"/>
  <c r="F289" i="61"/>
  <c r="E289" i="61"/>
  <c r="D289" i="61"/>
  <c r="K280" i="61"/>
  <c r="J280" i="61"/>
  <c r="I280" i="61"/>
  <c r="H280" i="61"/>
  <c r="G280" i="61"/>
  <c r="F280" i="61"/>
  <c r="E280" i="61"/>
  <c r="D280" i="61"/>
  <c r="K279" i="61"/>
  <c r="J279" i="61"/>
  <c r="I279" i="61"/>
  <c r="H279" i="61"/>
  <c r="G279" i="61"/>
  <c r="F279" i="61"/>
  <c r="E279" i="61"/>
  <c r="D279" i="61"/>
  <c r="K278" i="61"/>
  <c r="K281" i="61" s="1"/>
  <c r="J278" i="61"/>
  <c r="J281" i="61" s="1"/>
  <c r="I278" i="61"/>
  <c r="I281" i="61" s="1"/>
  <c r="H278" i="61"/>
  <c r="H281" i="61" s="1"/>
  <c r="G278" i="61"/>
  <c r="G281" i="61" s="1"/>
  <c r="F278" i="61"/>
  <c r="F281" i="61" s="1"/>
  <c r="E278" i="61"/>
  <c r="E281" i="61" s="1"/>
  <c r="D278" i="61"/>
  <c r="D281" i="61" s="1"/>
  <c r="K275" i="61"/>
  <c r="J275" i="61"/>
  <c r="I275" i="61"/>
  <c r="H275" i="61"/>
  <c r="G275" i="61"/>
  <c r="F275" i="61"/>
  <c r="E275" i="61"/>
  <c r="D275" i="61"/>
  <c r="K274" i="61"/>
  <c r="J274" i="61"/>
  <c r="I274" i="61"/>
  <c r="H274" i="61"/>
  <c r="G274" i="61"/>
  <c r="F274" i="61"/>
  <c r="E274" i="61"/>
  <c r="D274" i="61"/>
  <c r="K271" i="61"/>
  <c r="J271" i="61"/>
  <c r="I271" i="61"/>
  <c r="H271" i="61"/>
  <c r="G271" i="61"/>
  <c r="F271" i="61"/>
  <c r="E271" i="61"/>
  <c r="D271" i="61"/>
  <c r="K270" i="61"/>
  <c r="J270" i="61"/>
  <c r="I270" i="61"/>
  <c r="H270" i="61"/>
  <c r="G270" i="61"/>
  <c r="F270" i="61"/>
  <c r="E270" i="61"/>
  <c r="D270" i="61"/>
  <c r="K267" i="61"/>
  <c r="J267" i="61"/>
  <c r="I267" i="61"/>
  <c r="H267" i="61"/>
  <c r="G267" i="61"/>
  <c r="F267" i="61"/>
  <c r="E267" i="61"/>
  <c r="D267" i="61"/>
  <c r="K257" i="61"/>
  <c r="J257" i="61"/>
  <c r="I257" i="61"/>
  <c r="H257" i="61"/>
  <c r="G257" i="61"/>
  <c r="F257" i="61"/>
  <c r="E257" i="61"/>
  <c r="D257" i="61"/>
  <c r="K248" i="61"/>
  <c r="J248" i="61"/>
  <c r="I248" i="61"/>
  <c r="H248" i="61"/>
  <c r="G248" i="61"/>
  <c r="F248" i="61"/>
  <c r="E248" i="61"/>
  <c r="D248" i="61"/>
  <c r="K247" i="61"/>
  <c r="K249" i="61" s="1"/>
  <c r="J247" i="61"/>
  <c r="J249" i="61" s="1"/>
  <c r="I247" i="61"/>
  <c r="I249" i="61" s="1"/>
  <c r="H247" i="61"/>
  <c r="H249" i="61" s="1"/>
  <c r="G247" i="61"/>
  <c r="G249" i="61" s="1"/>
  <c r="F247" i="61"/>
  <c r="F249" i="61" s="1"/>
  <c r="E247" i="61"/>
  <c r="E249" i="61" s="1"/>
  <c r="D247" i="61"/>
  <c r="D249" i="61" s="1"/>
  <c r="K244" i="61"/>
  <c r="L244" i="61" s="1"/>
  <c r="M244" i="61" s="1"/>
  <c r="N244" i="61" s="1"/>
  <c r="O244" i="61" s="1"/>
  <c r="P244" i="61" s="1"/>
  <c r="Q244" i="61" s="1"/>
  <c r="R244" i="61" s="1"/>
  <c r="S244" i="61" s="1"/>
  <c r="T244" i="61" s="1"/>
  <c r="U244" i="61" s="1"/>
  <c r="J244" i="61"/>
  <c r="I244" i="61"/>
  <c r="H244" i="61"/>
  <c r="G244" i="61"/>
  <c r="F244" i="61"/>
  <c r="E244" i="61"/>
  <c r="D244" i="61"/>
  <c r="K243" i="61"/>
  <c r="L243" i="61" s="1"/>
  <c r="M243" i="61" s="1"/>
  <c r="N243" i="61" s="1"/>
  <c r="O243" i="61" s="1"/>
  <c r="P243" i="61" s="1"/>
  <c r="Q243" i="61" s="1"/>
  <c r="R243" i="61" s="1"/>
  <c r="S243" i="61" s="1"/>
  <c r="T243" i="61" s="1"/>
  <c r="U243" i="61" s="1"/>
  <c r="J243" i="61"/>
  <c r="I243" i="61"/>
  <c r="H243" i="61"/>
  <c r="G243" i="61"/>
  <c r="F243" i="61"/>
  <c r="E243" i="61"/>
  <c r="D243" i="61"/>
  <c r="K240" i="61"/>
  <c r="J240" i="61"/>
  <c r="I240" i="61"/>
  <c r="H240" i="61"/>
  <c r="G240" i="61"/>
  <c r="F240" i="61"/>
  <c r="E240" i="61"/>
  <c r="D240" i="61"/>
  <c r="K237" i="61"/>
  <c r="J237" i="61"/>
  <c r="I237" i="61"/>
  <c r="H237" i="61"/>
  <c r="G237" i="61"/>
  <c r="F237" i="61"/>
  <c r="E237" i="61"/>
  <c r="D237" i="61"/>
  <c r="K233" i="61"/>
  <c r="J233" i="61"/>
  <c r="I233" i="61"/>
  <c r="H233" i="61"/>
  <c r="G233" i="61"/>
  <c r="F233" i="61"/>
  <c r="E233" i="61"/>
  <c r="D233" i="61"/>
  <c r="K232" i="61"/>
  <c r="L232" i="61" s="1"/>
  <c r="M232" i="61" s="1"/>
  <c r="N232" i="61" s="1"/>
  <c r="O232" i="61" s="1"/>
  <c r="P232" i="61" s="1"/>
  <c r="Q232" i="61" s="1"/>
  <c r="R232" i="61" s="1"/>
  <c r="S232" i="61" s="1"/>
  <c r="T232" i="61" s="1"/>
  <c r="U232" i="61" s="1"/>
  <c r="J232" i="61"/>
  <c r="I232" i="61"/>
  <c r="H232" i="61"/>
  <c r="G232" i="61"/>
  <c r="F232" i="61"/>
  <c r="E232" i="61"/>
  <c r="D232" i="61"/>
  <c r="K230" i="61"/>
  <c r="J230" i="61"/>
  <c r="I230" i="61"/>
  <c r="H230" i="61"/>
  <c r="G230" i="61"/>
  <c r="F230" i="61"/>
  <c r="E230" i="61"/>
  <c r="D230" i="61"/>
  <c r="K229" i="61"/>
  <c r="J229" i="61"/>
  <c r="I229" i="61"/>
  <c r="H229" i="61"/>
  <c r="G229" i="61"/>
  <c r="F229" i="61"/>
  <c r="E229" i="61"/>
  <c r="D229" i="61"/>
  <c r="K228" i="61"/>
  <c r="J228" i="61"/>
  <c r="I228" i="61"/>
  <c r="H228" i="61"/>
  <c r="G228" i="61"/>
  <c r="F228" i="61"/>
  <c r="E228" i="61"/>
  <c r="D228" i="61"/>
  <c r="K223" i="61"/>
  <c r="J223" i="61"/>
  <c r="I223" i="61"/>
  <c r="H223" i="61"/>
  <c r="G223" i="61"/>
  <c r="F223" i="61"/>
  <c r="E223" i="61"/>
  <c r="D223" i="61"/>
  <c r="K222" i="61"/>
  <c r="J222" i="61"/>
  <c r="I222" i="61"/>
  <c r="H222" i="61"/>
  <c r="G222" i="61"/>
  <c r="F222" i="61"/>
  <c r="E222" i="61"/>
  <c r="D222" i="61"/>
  <c r="K221" i="61"/>
  <c r="J221" i="61"/>
  <c r="I221" i="61"/>
  <c r="H221" i="61"/>
  <c r="G221" i="61"/>
  <c r="F221" i="61"/>
  <c r="E221" i="61"/>
  <c r="D221" i="61"/>
  <c r="F220" i="61"/>
  <c r="E220" i="61"/>
  <c r="D220" i="61"/>
  <c r="K216" i="61"/>
  <c r="J216" i="61"/>
  <c r="I216" i="61"/>
  <c r="H216" i="61"/>
  <c r="G216" i="61"/>
  <c r="F216" i="61"/>
  <c r="E216" i="61"/>
  <c r="D216" i="61"/>
  <c r="K215" i="61"/>
  <c r="J215" i="61"/>
  <c r="I215" i="61"/>
  <c r="H215" i="61"/>
  <c r="G215" i="61"/>
  <c r="F215" i="61"/>
  <c r="E215" i="61"/>
  <c r="D215" i="61"/>
  <c r="K214" i="61"/>
  <c r="J214" i="61"/>
  <c r="I214" i="61"/>
  <c r="H214" i="61"/>
  <c r="G214" i="61"/>
  <c r="F214" i="61"/>
  <c r="E214" i="61"/>
  <c r="D214" i="61"/>
  <c r="K213" i="61"/>
  <c r="J213" i="61"/>
  <c r="I213" i="61"/>
  <c r="H213" i="61"/>
  <c r="G213" i="61"/>
  <c r="F213" i="61"/>
  <c r="E213" i="61"/>
  <c r="D213" i="61"/>
  <c r="K210" i="61"/>
  <c r="J210" i="61"/>
  <c r="I210" i="61"/>
  <c r="H210" i="61"/>
  <c r="G210" i="61"/>
  <c r="F210" i="61"/>
  <c r="E210" i="61"/>
  <c r="D210" i="61"/>
  <c r="K209" i="61"/>
  <c r="J209" i="61"/>
  <c r="I209" i="61"/>
  <c r="H209" i="61"/>
  <c r="G209" i="61"/>
  <c r="F209" i="61"/>
  <c r="E209" i="61"/>
  <c r="D209" i="61"/>
  <c r="K205" i="61"/>
  <c r="J205" i="61"/>
  <c r="I205" i="61"/>
  <c r="H205" i="61"/>
  <c r="G205" i="61"/>
  <c r="F205" i="61"/>
  <c r="E205" i="61"/>
  <c r="D205" i="61"/>
  <c r="K204" i="61"/>
  <c r="J204" i="61"/>
  <c r="I204" i="61"/>
  <c r="H204" i="61"/>
  <c r="G204" i="61"/>
  <c r="F204" i="61"/>
  <c r="E204" i="61"/>
  <c r="D204" i="61"/>
  <c r="K203" i="61"/>
  <c r="J203" i="61"/>
  <c r="I203" i="61"/>
  <c r="H203" i="61"/>
  <c r="G203" i="61"/>
  <c r="F203" i="61"/>
  <c r="E203" i="61"/>
  <c r="D203" i="61"/>
  <c r="K199" i="61"/>
  <c r="J199" i="61"/>
  <c r="I199" i="61"/>
  <c r="H199" i="61"/>
  <c r="G199" i="61"/>
  <c r="F199" i="61"/>
  <c r="E199" i="61"/>
  <c r="D199" i="61"/>
  <c r="K198" i="61"/>
  <c r="J198" i="61"/>
  <c r="I198" i="61"/>
  <c r="H198" i="61"/>
  <c r="G198" i="61"/>
  <c r="F198" i="61"/>
  <c r="E198" i="61"/>
  <c r="D198" i="61"/>
  <c r="K197" i="61"/>
  <c r="J197" i="61"/>
  <c r="I197" i="61"/>
  <c r="H197" i="61"/>
  <c r="G197" i="61"/>
  <c r="F197" i="61"/>
  <c r="E197" i="61"/>
  <c r="D197" i="61"/>
  <c r="K196" i="61"/>
  <c r="J196" i="61"/>
  <c r="I196" i="61"/>
  <c r="H196" i="61"/>
  <c r="G196" i="61"/>
  <c r="F196" i="61"/>
  <c r="E196" i="61"/>
  <c r="D196" i="61"/>
  <c r="K186" i="61"/>
  <c r="L186" i="61" s="1"/>
  <c r="M186" i="61" s="1"/>
  <c r="N186" i="61" s="1"/>
  <c r="O186" i="61" s="1"/>
  <c r="P186" i="61" s="1"/>
  <c r="Q186" i="61" s="1"/>
  <c r="R186" i="61" s="1"/>
  <c r="S186" i="61" s="1"/>
  <c r="T186" i="61" s="1"/>
  <c r="U186" i="61" s="1"/>
  <c r="J186" i="61"/>
  <c r="I186" i="61"/>
  <c r="H186" i="61"/>
  <c r="G186" i="61"/>
  <c r="F186" i="61"/>
  <c r="E186" i="61"/>
  <c r="D186" i="61"/>
  <c r="K183" i="61"/>
  <c r="J183" i="61"/>
  <c r="I183" i="61"/>
  <c r="H183" i="61"/>
  <c r="G183" i="61"/>
  <c r="F183" i="61"/>
  <c r="E183" i="61"/>
  <c r="D183" i="61"/>
  <c r="K181" i="61"/>
  <c r="J181" i="61"/>
  <c r="I181" i="61"/>
  <c r="H181" i="61"/>
  <c r="G181" i="61"/>
  <c r="F181" i="61"/>
  <c r="E181" i="61"/>
  <c r="D181" i="61"/>
  <c r="K180" i="61"/>
  <c r="J180" i="61"/>
  <c r="I180" i="61"/>
  <c r="H180" i="61"/>
  <c r="G180" i="61"/>
  <c r="F180" i="61"/>
  <c r="E180" i="61"/>
  <c r="D180" i="61"/>
  <c r="K178" i="61"/>
  <c r="J178" i="61"/>
  <c r="I178" i="61"/>
  <c r="H178" i="61"/>
  <c r="G178" i="61"/>
  <c r="F178" i="61"/>
  <c r="E178" i="61"/>
  <c r="D178" i="61"/>
  <c r="K176" i="61"/>
  <c r="J176" i="61"/>
  <c r="I176" i="61"/>
  <c r="H176" i="61"/>
  <c r="G176" i="61"/>
  <c r="F176" i="61"/>
  <c r="E176" i="61"/>
  <c r="D176" i="61"/>
  <c r="K175" i="61"/>
  <c r="J175" i="61"/>
  <c r="I175" i="61"/>
  <c r="H175" i="61"/>
  <c r="G175" i="61"/>
  <c r="F175" i="61"/>
  <c r="E175" i="61"/>
  <c r="D175" i="61"/>
  <c r="K174" i="61"/>
  <c r="J174" i="61"/>
  <c r="I174" i="61"/>
  <c r="H174" i="61"/>
  <c r="G174" i="61"/>
  <c r="F174" i="61"/>
  <c r="E174" i="61"/>
  <c r="D174" i="61"/>
  <c r="K173" i="61"/>
  <c r="J173" i="61"/>
  <c r="I173" i="61"/>
  <c r="H173" i="61"/>
  <c r="G173" i="61"/>
  <c r="F173" i="61"/>
  <c r="E173" i="61"/>
  <c r="D173" i="61"/>
  <c r="K172" i="61"/>
  <c r="J172" i="61"/>
  <c r="I172" i="61"/>
  <c r="H172" i="61"/>
  <c r="G172" i="61"/>
  <c r="F172" i="61"/>
  <c r="E172" i="61"/>
  <c r="D172" i="61"/>
  <c r="K171" i="61"/>
  <c r="J171" i="61"/>
  <c r="I171" i="61"/>
  <c r="H171" i="61"/>
  <c r="G171" i="61"/>
  <c r="F171" i="61"/>
  <c r="E171" i="61"/>
  <c r="D171" i="61"/>
  <c r="K161" i="61"/>
  <c r="J161" i="61"/>
  <c r="I161" i="61"/>
  <c r="H161" i="61"/>
  <c r="G161" i="61"/>
  <c r="F161" i="61"/>
  <c r="E161" i="61"/>
  <c r="D161" i="61"/>
  <c r="K160" i="61"/>
  <c r="L160" i="61" s="1"/>
  <c r="M160" i="61" s="1"/>
  <c r="N160" i="61" s="1"/>
  <c r="O160" i="61" s="1"/>
  <c r="P160" i="61" s="1"/>
  <c r="Q160" i="61" s="1"/>
  <c r="R160" i="61" s="1"/>
  <c r="S160" i="61" s="1"/>
  <c r="T160" i="61" s="1"/>
  <c r="U160" i="61" s="1"/>
  <c r="J160" i="61"/>
  <c r="I160" i="61"/>
  <c r="H160" i="61"/>
  <c r="G160" i="61"/>
  <c r="F160" i="61"/>
  <c r="E160" i="61"/>
  <c r="D160" i="61"/>
  <c r="K153" i="61"/>
  <c r="J153" i="61"/>
  <c r="I153" i="61"/>
  <c r="H153" i="61"/>
  <c r="G153" i="61"/>
  <c r="F153" i="61"/>
  <c r="E153" i="61"/>
  <c r="D153" i="61"/>
  <c r="K152" i="61"/>
  <c r="J152" i="61"/>
  <c r="I152" i="61"/>
  <c r="H152" i="61"/>
  <c r="G152" i="61"/>
  <c r="F152" i="61"/>
  <c r="E152" i="61"/>
  <c r="D152" i="61"/>
  <c r="K151" i="61"/>
  <c r="L151" i="61" s="1"/>
  <c r="M151" i="61" s="1"/>
  <c r="N151" i="61" s="1"/>
  <c r="O151" i="61" s="1"/>
  <c r="P151" i="61" s="1"/>
  <c r="Q151" i="61" s="1"/>
  <c r="R151" i="61" s="1"/>
  <c r="S151" i="61" s="1"/>
  <c r="T151" i="61" s="1"/>
  <c r="U151" i="61" s="1"/>
  <c r="J151" i="61"/>
  <c r="I151" i="61"/>
  <c r="H151" i="61"/>
  <c r="G151" i="61"/>
  <c r="F151" i="61"/>
  <c r="E151" i="61"/>
  <c r="D151" i="61"/>
  <c r="K144" i="61"/>
  <c r="J144" i="61"/>
  <c r="I144" i="61"/>
  <c r="H144" i="61"/>
  <c r="G144" i="61"/>
  <c r="F144" i="61"/>
  <c r="E144" i="61"/>
  <c r="D144" i="61"/>
  <c r="K143" i="61"/>
  <c r="J143" i="61"/>
  <c r="I143" i="61"/>
  <c r="H143" i="61"/>
  <c r="G143" i="61"/>
  <c r="F143" i="61"/>
  <c r="E143" i="61"/>
  <c r="D143" i="61"/>
  <c r="K138" i="61"/>
  <c r="L138" i="61" s="1"/>
  <c r="M138" i="61" s="1"/>
  <c r="N138" i="61" s="1"/>
  <c r="O138" i="61" s="1"/>
  <c r="P138" i="61" s="1"/>
  <c r="Q138" i="61" s="1"/>
  <c r="R138" i="61" s="1"/>
  <c r="S138" i="61" s="1"/>
  <c r="T138" i="61" s="1"/>
  <c r="U138" i="61" s="1"/>
  <c r="J138" i="61"/>
  <c r="I138" i="61"/>
  <c r="H138" i="61"/>
  <c r="G138" i="61"/>
  <c r="F138" i="61"/>
  <c r="E138" i="61"/>
  <c r="D138" i="61"/>
  <c r="K136" i="61"/>
  <c r="G136" i="61"/>
  <c r="K135" i="61"/>
  <c r="J135" i="61"/>
  <c r="J136" i="61" s="1"/>
  <c r="I135" i="61"/>
  <c r="I136" i="61" s="1"/>
  <c r="H135" i="61"/>
  <c r="H136" i="61" s="1"/>
  <c r="G135" i="61"/>
  <c r="F135" i="61"/>
  <c r="F136" i="61" s="1"/>
  <c r="E135" i="61"/>
  <c r="E136" i="61" s="1"/>
  <c r="D135" i="61"/>
  <c r="D136" i="61" s="1"/>
  <c r="K129" i="61"/>
  <c r="J129" i="61"/>
  <c r="I129" i="61"/>
  <c r="H129" i="61"/>
  <c r="G129" i="61"/>
  <c r="F129" i="61"/>
  <c r="E129" i="61"/>
  <c r="D129" i="61"/>
  <c r="K128" i="61"/>
  <c r="J128" i="61"/>
  <c r="I128" i="61"/>
  <c r="H128" i="61"/>
  <c r="G128" i="61"/>
  <c r="F128" i="61"/>
  <c r="E128" i="61"/>
  <c r="D128" i="61"/>
  <c r="K127" i="61"/>
  <c r="J127" i="61"/>
  <c r="I127" i="61"/>
  <c r="H127" i="61"/>
  <c r="G127" i="61"/>
  <c r="F127" i="61"/>
  <c r="E127" i="61"/>
  <c r="D127" i="61"/>
  <c r="K126" i="61"/>
  <c r="J126" i="61"/>
  <c r="I126" i="61"/>
  <c r="H126" i="61"/>
  <c r="G126" i="61"/>
  <c r="F126" i="61"/>
  <c r="E126" i="61"/>
  <c r="D126" i="61"/>
  <c r="K125" i="61"/>
  <c r="J125" i="61"/>
  <c r="I125" i="61"/>
  <c r="H125" i="61"/>
  <c r="G125" i="61"/>
  <c r="F125" i="61"/>
  <c r="E125" i="61"/>
  <c r="D125" i="61"/>
  <c r="K118" i="61"/>
  <c r="J118" i="61"/>
  <c r="I118" i="61"/>
  <c r="H118" i="61"/>
  <c r="G118" i="61"/>
  <c r="F118" i="61"/>
  <c r="E118" i="61"/>
  <c r="D118" i="61"/>
  <c r="K117" i="61"/>
  <c r="J117" i="61"/>
  <c r="I117" i="61"/>
  <c r="H117" i="61"/>
  <c r="G117" i="61"/>
  <c r="F117" i="61"/>
  <c r="E117" i="61"/>
  <c r="D117" i="61"/>
  <c r="K116" i="61"/>
  <c r="J116" i="61"/>
  <c r="I116" i="61"/>
  <c r="H116" i="61"/>
  <c r="G116" i="61"/>
  <c r="F116" i="61"/>
  <c r="E116" i="61"/>
  <c r="D116" i="61"/>
  <c r="K115" i="61"/>
  <c r="J115" i="61"/>
  <c r="I115" i="61"/>
  <c r="H115" i="61"/>
  <c r="G115" i="61"/>
  <c r="F115" i="61"/>
  <c r="E115" i="61"/>
  <c r="D115" i="61"/>
  <c r="K114" i="61"/>
  <c r="J114" i="61"/>
  <c r="I114" i="61"/>
  <c r="H114" i="61"/>
  <c r="G114" i="61"/>
  <c r="F114" i="61"/>
  <c r="E114" i="61"/>
  <c r="D114" i="61"/>
  <c r="K113" i="61"/>
  <c r="J113" i="61"/>
  <c r="I113" i="61"/>
  <c r="H113" i="61"/>
  <c r="G113" i="61"/>
  <c r="F113" i="61"/>
  <c r="E113" i="61"/>
  <c r="D113" i="61"/>
  <c r="K111" i="61"/>
  <c r="J111" i="61"/>
  <c r="I111" i="61"/>
  <c r="H111" i="61"/>
  <c r="G111" i="61"/>
  <c r="F111" i="61"/>
  <c r="E111" i="61"/>
  <c r="D111" i="61"/>
  <c r="K110" i="61"/>
  <c r="J110" i="61"/>
  <c r="I110" i="61"/>
  <c r="H110" i="61"/>
  <c r="G110" i="61"/>
  <c r="F110" i="61"/>
  <c r="E110" i="61"/>
  <c r="D110" i="61"/>
  <c r="K109" i="61"/>
  <c r="J109" i="61"/>
  <c r="I109" i="61"/>
  <c r="H109" i="61"/>
  <c r="G109" i="61"/>
  <c r="F109" i="61"/>
  <c r="E109" i="61"/>
  <c r="D109" i="61"/>
  <c r="K108" i="61"/>
  <c r="J108" i="61"/>
  <c r="I108" i="61"/>
  <c r="H108" i="61"/>
  <c r="G108" i="61"/>
  <c r="F108" i="61"/>
  <c r="E108" i="61"/>
  <c r="D108" i="61"/>
  <c r="K107" i="61"/>
  <c r="J107" i="61"/>
  <c r="I107" i="61"/>
  <c r="H107" i="61"/>
  <c r="G107" i="61"/>
  <c r="F107" i="61"/>
  <c r="E107" i="61"/>
  <c r="D107" i="61"/>
  <c r="K100" i="61"/>
  <c r="J100" i="61"/>
  <c r="I100" i="61"/>
  <c r="H100" i="61"/>
  <c r="G100" i="61"/>
  <c r="F100" i="61"/>
  <c r="E100" i="61"/>
  <c r="D100" i="61"/>
  <c r="F99" i="61"/>
  <c r="E99" i="61"/>
  <c r="D99" i="61"/>
  <c r="K98" i="61"/>
  <c r="J98" i="61"/>
  <c r="I98" i="61"/>
  <c r="H98" i="61"/>
  <c r="G98" i="61"/>
  <c r="F98" i="61"/>
  <c r="E98" i="61"/>
  <c r="D98" i="61"/>
  <c r="K95" i="61"/>
  <c r="J95" i="61"/>
  <c r="I95" i="61"/>
  <c r="H95" i="61"/>
  <c r="G95" i="61"/>
  <c r="F95" i="61"/>
  <c r="E95" i="61"/>
  <c r="D95" i="61"/>
  <c r="K94" i="61"/>
  <c r="J94" i="61"/>
  <c r="I94" i="61"/>
  <c r="H94" i="61"/>
  <c r="G94" i="61"/>
  <c r="F94" i="61"/>
  <c r="E94" i="61"/>
  <c r="D94" i="61"/>
  <c r="K93" i="61"/>
  <c r="J93" i="61"/>
  <c r="I93" i="61"/>
  <c r="H93" i="61"/>
  <c r="G93" i="61"/>
  <c r="F93" i="61"/>
  <c r="E93" i="61"/>
  <c r="D93" i="61"/>
  <c r="K92" i="61"/>
  <c r="J92" i="61"/>
  <c r="I92" i="61"/>
  <c r="H92" i="61"/>
  <c r="G92" i="61"/>
  <c r="F92" i="61"/>
  <c r="E92" i="61"/>
  <c r="D92" i="61"/>
  <c r="K91" i="61"/>
  <c r="J91" i="61"/>
  <c r="I91" i="61"/>
  <c r="H91" i="61"/>
  <c r="G91" i="61"/>
  <c r="F91" i="61"/>
  <c r="E91" i="61"/>
  <c r="D91" i="61"/>
  <c r="K86" i="61"/>
  <c r="J86" i="61"/>
  <c r="I86" i="61"/>
  <c r="H86" i="61"/>
  <c r="G86" i="61"/>
  <c r="F86" i="61"/>
  <c r="E86" i="61"/>
  <c r="D86" i="61"/>
  <c r="K85" i="61"/>
  <c r="J85" i="61"/>
  <c r="I85" i="61"/>
  <c r="H85" i="61"/>
  <c r="G85" i="61"/>
  <c r="F85" i="61"/>
  <c r="E85" i="61"/>
  <c r="D85" i="61"/>
  <c r="K83" i="61"/>
  <c r="J83" i="61"/>
  <c r="I83" i="61"/>
  <c r="H83" i="61"/>
  <c r="G83" i="61"/>
  <c r="F83" i="61"/>
  <c r="E83" i="61"/>
  <c r="D83" i="61"/>
  <c r="K82" i="61"/>
  <c r="J82" i="61"/>
  <c r="I82" i="61"/>
  <c r="H82" i="61"/>
  <c r="G82" i="61"/>
  <c r="F82" i="61"/>
  <c r="E82" i="61"/>
  <c r="D82" i="61"/>
  <c r="K81" i="61"/>
  <c r="J81" i="61"/>
  <c r="I81" i="61"/>
  <c r="H81" i="61"/>
  <c r="G81" i="61"/>
  <c r="F81" i="61"/>
  <c r="E81" i="61"/>
  <c r="D81" i="61"/>
  <c r="K80" i="61"/>
  <c r="J80" i="61"/>
  <c r="I80" i="61"/>
  <c r="H80" i="61"/>
  <c r="G80" i="61"/>
  <c r="F80" i="61"/>
  <c r="E80" i="61"/>
  <c r="D80" i="61"/>
  <c r="K79" i="61"/>
  <c r="J79" i="61"/>
  <c r="I79" i="61"/>
  <c r="H79" i="61"/>
  <c r="G79" i="61"/>
  <c r="F79" i="61"/>
  <c r="E79" i="61"/>
  <c r="D79" i="61"/>
  <c r="K74" i="61"/>
  <c r="J74" i="61"/>
  <c r="I74" i="61"/>
  <c r="H74" i="61"/>
  <c r="G74" i="61"/>
  <c r="F74" i="61"/>
  <c r="E74" i="61"/>
  <c r="D74" i="61"/>
  <c r="K73" i="61"/>
  <c r="K380" i="61" s="1"/>
  <c r="J73" i="61"/>
  <c r="J380" i="61" s="1"/>
  <c r="I73" i="61"/>
  <c r="I380" i="61" s="1"/>
  <c r="H73" i="61"/>
  <c r="H380" i="61" s="1"/>
  <c r="G73" i="61"/>
  <c r="G380" i="61" s="1"/>
  <c r="F73" i="61"/>
  <c r="F380" i="61" s="1"/>
  <c r="E73" i="61"/>
  <c r="E380" i="61" s="1"/>
  <c r="D73" i="61"/>
  <c r="D380" i="61" s="1"/>
  <c r="K69" i="61"/>
  <c r="J69" i="61"/>
  <c r="I69" i="61"/>
  <c r="H69" i="61"/>
  <c r="G69" i="61"/>
  <c r="F69" i="61"/>
  <c r="E69" i="61"/>
  <c r="D69" i="61"/>
  <c r="F60" i="61"/>
  <c r="E60" i="61"/>
  <c r="D60" i="61"/>
  <c r="K55" i="61"/>
  <c r="J55" i="61"/>
  <c r="I55" i="61"/>
  <c r="H55" i="61"/>
  <c r="G55" i="61"/>
  <c r="F55" i="61"/>
  <c r="E55" i="61"/>
  <c r="D55" i="61"/>
  <c r="K40" i="61"/>
  <c r="J40" i="61"/>
  <c r="I40" i="61"/>
  <c r="H40" i="61"/>
  <c r="G40" i="61"/>
  <c r="F40" i="61"/>
  <c r="E40" i="61"/>
  <c r="D40" i="61"/>
  <c r="K37" i="61"/>
  <c r="J37" i="61"/>
  <c r="I37" i="61"/>
  <c r="H37" i="61"/>
  <c r="G37" i="61"/>
  <c r="F37" i="61"/>
  <c r="E37" i="61"/>
  <c r="D37" i="61"/>
  <c r="L465" i="61" l="1"/>
  <c r="M465" i="61" s="1"/>
  <c r="N465" i="61" s="1"/>
  <c r="O465" i="61" s="1"/>
  <c r="P465" i="61" s="1"/>
  <c r="Q465" i="61" s="1"/>
  <c r="R465" i="61" s="1"/>
  <c r="S465" i="61" s="1"/>
  <c r="T465" i="61" s="1"/>
  <c r="U465" i="61" s="1"/>
  <c r="F434" i="64" l="1"/>
  <c r="G434" i="64"/>
  <c r="H434" i="64"/>
  <c r="I434" i="64"/>
  <c r="J434" i="64"/>
  <c r="K434" i="64"/>
  <c r="F435" i="64"/>
  <c r="G435" i="64"/>
  <c r="H435" i="64"/>
  <c r="I435" i="64"/>
  <c r="J435" i="64"/>
  <c r="K435" i="64"/>
  <c r="F436" i="64"/>
  <c r="G436" i="64"/>
  <c r="H436" i="64"/>
  <c r="I436" i="64"/>
  <c r="J436" i="64"/>
  <c r="K436" i="64"/>
  <c r="F437" i="64"/>
  <c r="G437" i="64"/>
  <c r="H437" i="64"/>
  <c r="I437" i="64"/>
  <c r="J437" i="64"/>
  <c r="K437" i="64"/>
  <c r="K274" i="65" l="1"/>
  <c r="H211" i="65"/>
  <c r="I211" i="65"/>
  <c r="J211" i="65"/>
  <c r="K211" i="65"/>
  <c r="G211" i="65"/>
  <c r="K533" i="64"/>
  <c r="J533" i="64"/>
  <c r="I533" i="64"/>
  <c r="H533" i="64"/>
  <c r="G533" i="64"/>
  <c r="F533" i="64"/>
  <c r="E533" i="64"/>
  <c r="D533" i="64"/>
  <c r="K532" i="64"/>
  <c r="J532" i="64"/>
  <c r="I532" i="64"/>
  <c r="H532" i="64"/>
  <c r="G532" i="64"/>
  <c r="F532" i="64"/>
  <c r="E532" i="64"/>
  <c r="D532" i="64"/>
  <c r="K526" i="64"/>
  <c r="J526" i="64"/>
  <c r="I526" i="64"/>
  <c r="H526" i="64"/>
  <c r="G526" i="64"/>
  <c r="F526" i="64"/>
  <c r="E526" i="64"/>
  <c r="D526" i="64"/>
  <c r="K525" i="64"/>
  <c r="J525" i="64"/>
  <c r="I525" i="64"/>
  <c r="H525" i="64"/>
  <c r="G525" i="64"/>
  <c r="F525" i="64"/>
  <c r="E525" i="64"/>
  <c r="D525" i="64"/>
  <c r="K495" i="64"/>
  <c r="J495" i="64"/>
  <c r="I495" i="64"/>
  <c r="H495" i="64"/>
  <c r="G495" i="64"/>
  <c r="F495" i="64"/>
  <c r="E495" i="64"/>
  <c r="D495" i="64"/>
  <c r="K493" i="64"/>
  <c r="J493" i="64"/>
  <c r="I493" i="64"/>
  <c r="H493" i="64"/>
  <c r="G493" i="64"/>
  <c r="F493" i="64"/>
  <c r="E493" i="64"/>
  <c r="D493" i="64"/>
  <c r="K492" i="64"/>
  <c r="J492" i="64"/>
  <c r="I492" i="64"/>
  <c r="H492" i="64"/>
  <c r="G492" i="64"/>
  <c r="F492" i="64"/>
  <c r="E492" i="64"/>
  <c r="D492" i="64"/>
  <c r="K485" i="64"/>
  <c r="J485" i="64"/>
  <c r="I485" i="64"/>
  <c r="H485" i="64"/>
  <c r="G485" i="64"/>
  <c r="F485" i="64"/>
  <c r="E485" i="64"/>
  <c r="D485" i="64"/>
  <c r="K484" i="64"/>
  <c r="J484" i="64"/>
  <c r="I484" i="64"/>
  <c r="H484" i="64"/>
  <c r="G484" i="64"/>
  <c r="F484" i="64"/>
  <c r="E484" i="64"/>
  <c r="D484" i="64"/>
  <c r="K483" i="64"/>
  <c r="J483" i="64"/>
  <c r="I483" i="64"/>
  <c r="H483" i="64"/>
  <c r="G483" i="64"/>
  <c r="F483" i="64"/>
  <c r="E483" i="64"/>
  <c r="D483" i="64"/>
  <c r="K479" i="64"/>
  <c r="J479" i="64"/>
  <c r="I479" i="64"/>
  <c r="H479" i="64"/>
  <c r="G479" i="64"/>
  <c r="F479" i="64"/>
  <c r="E479" i="64"/>
  <c r="D479" i="64"/>
  <c r="K478" i="64"/>
  <c r="J478" i="64"/>
  <c r="I478" i="64"/>
  <c r="H478" i="64"/>
  <c r="G478" i="64"/>
  <c r="F478" i="64"/>
  <c r="E478" i="64"/>
  <c r="D478" i="64"/>
  <c r="K477" i="64"/>
  <c r="J477" i="64"/>
  <c r="I477" i="64"/>
  <c r="H477" i="64"/>
  <c r="G477" i="64"/>
  <c r="F477" i="64"/>
  <c r="E477" i="64"/>
  <c r="D477" i="64"/>
  <c r="K476" i="64"/>
  <c r="J476" i="64"/>
  <c r="I476" i="64"/>
  <c r="H476" i="64"/>
  <c r="G476" i="64"/>
  <c r="F476" i="64"/>
  <c r="E476" i="64"/>
  <c r="D476" i="64"/>
  <c r="K475" i="64"/>
  <c r="J475" i="64"/>
  <c r="I475" i="64"/>
  <c r="H475" i="64"/>
  <c r="G475" i="64"/>
  <c r="F475" i="64"/>
  <c r="E475" i="64"/>
  <c r="D475" i="64"/>
  <c r="K474" i="64"/>
  <c r="J474" i="64"/>
  <c r="I474" i="64"/>
  <c r="H474" i="64"/>
  <c r="G474" i="64"/>
  <c r="F474" i="64"/>
  <c r="E474" i="64"/>
  <c r="D474" i="64"/>
  <c r="K471" i="64"/>
  <c r="J471" i="64"/>
  <c r="I471" i="64"/>
  <c r="H471" i="64"/>
  <c r="G471" i="64"/>
  <c r="F471" i="64"/>
  <c r="E471" i="64"/>
  <c r="D471" i="64"/>
  <c r="K470" i="64"/>
  <c r="J470" i="64"/>
  <c r="I470" i="64"/>
  <c r="H470" i="64"/>
  <c r="G470" i="64"/>
  <c r="F470" i="64"/>
  <c r="E470" i="64"/>
  <c r="D470" i="64"/>
  <c r="K465" i="64"/>
  <c r="K466" i="64" s="1"/>
  <c r="J465" i="64"/>
  <c r="J466" i="64" s="1"/>
  <c r="I465" i="64"/>
  <c r="I466" i="64" s="1"/>
  <c r="H465" i="64"/>
  <c r="H466" i="64" s="1"/>
  <c r="G465" i="64"/>
  <c r="G466" i="64" s="1"/>
  <c r="F465" i="64"/>
  <c r="F466" i="64" s="1"/>
  <c r="E465" i="64"/>
  <c r="E466" i="64" s="1"/>
  <c r="D465" i="64"/>
  <c r="D466" i="64" s="1"/>
  <c r="K460" i="64"/>
  <c r="J460" i="64"/>
  <c r="I460" i="64"/>
  <c r="H460" i="64"/>
  <c r="G460" i="64"/>
  <c r="F460" i="64"/>
  <c r="E460" i="64"/>
  <c r="D460" i="64"/>
  <c r="K459" i="64"/>
  <c r="K461" i="64" s="1"/>
  <c r="J459" i="64"/>
  <c r="J461" i="64" s="1"/>
  <c r="I459" i="64"/>
  <c r="I461" i="64" s="1"/>
  <c r="H459" i="64"/>
  <c r="H461" i="64" s="1"/>
  <c r="G459" i="64"/>
  <c r="G461" i="64" s="1"/>
  <c r="F459" i="64"/>
  <c r="F461" i="64" s="1"/>
  <c r="E459" i="64"/>
  <c r="E461" i="64" s="1"/>
  <c r="D459" i="64"/>
  <c r="D461" i="64" s="1"/>
  <c r="K456" i="64"/>
  <c r="J456" i="64"/>
  <c r="I456" i="64"/>
  <c r="H456" i="64"/>
  <c r="G456" i="64"/>
  <c r="F456" i="64"/>
  <c r="E456" i="64"/>
  <c r="D456" i="64"/>
  <c r="K455" i="64"/>
  <c r="J455" i="64"/>
  <c r="I455" i="64"/>
  <c r="H455" i="64"/>
  <c r="G455" i="64"/>
  <c r="F455" i="64"/>
  <c r="E455" i="64"/>
  <c r="D455" i="64"/>
  <c r="K452" i="64"/>
  <c r="J452" i="64"/>
  <c r="I452" i="64"/>
  <c r="H452" i="64"/>
  <c r="G452" i="64"/>
  <c r="F452" i="64"/>
  <c r="E452" i="64"/>
  <c r="D452" i="64"/>
  <c r="K449" i="64"/>
  <c r="J449" i="64"/>
  <c r="I449" i="64"/>
  <c r="H449" i="64"/>
  <c r="G449" i="64"/>
  <c r="F449" i="64"/>
  <c r="E449" i="64"/>
  <c r="D449" i="64"/>
  <c r="K445" i="64"/>
  <c r="J445" i="64"/>
  <c r="I445" i="64"/>
  <c r="H445" i="64"/>
  <c r="G445" i="64"/>
  <c r="F445" i="64"/>
  <c r="E445" i="64"/>
  <c r="D445" i="64"/>
  <c r="K442" i="64"/>
  <c r="J442" i="64"/>
  <c r="I442" i="64"/>
  <c r="H442" i="64"/>
  <c r="G442" i="64"/>
  <c r="F442" i="64"/>
  <c r="E442" i="64"/>
  <c r="D442" i="64"/>
  <c r="K441" i="64"/>
  <c r="J441" i="64"/>
  <c r="I441" i="64"/>
  <c r="H441" i="64"/>
  <c r="G441" i="64"/>
  <c r="F441" i="64"/>
  <c r="E441" i="64"/>
  <c r="D441" i="64"/>
  <c r="K440" i="64"/>
  <c r="J440" i="64"/>
  <c r="I440" i="64"/>
  <c r="H440" i="64"/>
  <c r="G440" i="64"/>
  <c r="F440" i="64"/>
  <c r="E440" i="64"/>
  <c r="D440" i="64"/>
  <c r="K432" i="64"/>
  <c r="J432" i="64"/>
  <c r="I432" i="64"/>
  <c r="H432" i="64"/>
  <c r="G432" i="64"/>
  <c r="F432" i="64"/>
  <c r="K428" i="64"/>
  <c r="J428" i="64"/>
  <c r="I428" i="64"/>
  <c r="H428" i="64"/>
  <c r="G428" i="64"/>
  <c r="F428" i="64"/>
  <c r="E428" i="64"/>
  <c r="D428" i="64"/>
  <c r="K427" i="64"/>
  <c r="J427" i="64"/>
  <c r="I427" i="64"/>
  <c r="H427" i="64"/>
  <c r="G427" i="64"/>
  <c r="F427" i="64"/>
  <c r="E427" i="64"/>
  <c r="D427" i="64"/>
  <c r="K426" i="64"/>
  <c r="J426" i="64"/>
  <c r="I426" i="64"/>
  <c r="H426" i="64"/>
  <c r="G426" i="64"/>
  <c r="F426" i="64"/>
  <c r="E426" i="64"/>
  <c r="D426" i="64"/>
  <c r="K423" i="64"/>
  <c r="J423" i="64"/>
  <c r="I423" i="64"/>
  <c r="H423" i="64"/>
  <c r="G423" i="64"/>
  <c r="F423" i="64"/>
  <c r="E423" i="64"/>
  <c r="D423" i="64"/>
  <c r="K417" i="64"/>
  <c r="J417" i="64"/>
  <c r="I417" i="64"/>
  <c r="H417" i="64"/>
  <c r="G417" i="64"/>
  <c r="F417" i="64"/>
  <c r="E417" i="64"/>
  <c r="D417" i="64"/>
  <c r="K416" i="64"/>
  <c r="J416" i="64"/>
  <c r="I416" i="64"/>
  <c r="H416" i="64"/>
  <c r="G416" i="64"/>
  <c r="F416" i="64"/>
  <c r="E416" i="64"/>
  <c r="D416" i="64"/>
  <c r="K415" i="64"/>
  <c r="J415" i="64"/>
  <c r="I415" i="64"/>
  <c r="H415" i="64"/>
  <c r="G415" i="64"/>
  <c r="F415" i="64"/>
  <c r="E415" i="64"/>
  <c r="D415" i="64"/>
  <c r="K414" i="64"/>
  <c r="J414" i="64"/>
  <c r="I414" i="64"/>
  <c r="H414" i="64"/>
  <c r="G414" i="64"/>
  <c r="F414" i="64"/>
  <c r="E414" i="64"/>
  <c r="D414" i="64"/>
  <c r="K410" i="64"/>
  <c r="J410" i="64"/>
  <c r="I410" i="64"/>
  <c r="H410" i="64"/>
  <c r="G410" i="64"/>
  <c r="F410" i="64"/>
  <c r="E410" i="64"/>
  <c r="D410" i="64"/>
  <c r="K409" i="64"/>
  <c r="J409" i="64"/>
  <c r="I409" i="64"/>
  <c r="H409" i="64"/>
  <c r="G409" i="64"/>
  <c r="F409" i="64"/>
  <c r="E409" i="64"/>
  <c r="D409" i="64"/>
  <c r="C408" i="64"/>
  <c r="K403" i="64"/>
  <c r="J403" i="64"/>
  <c r="I403" i="64"/>
  <c r="H403" i="64"/>
  <c r="G403" i="64"/>
  <c r="F403" i="64"/>
  <c r="E403" i="64"/>
  <c r="D403" i="64"/>
  <c r="K399" i="64"/>
  <c r="J399" i="64"/>
  <c r="I399" i="64"/>
  <c r="I398" i="64" s="1"/>
  <c r="I402" i="64" s="1"/>
  <c r="H399" i="64"/>
  <c r="H398" i="64" s="1"/>
  <c r="H402" i="64" s="1"/>
  <c r="G399" i="64"/>
  <c r="G398" i="64" s="1"/>
  <c r="G402" i="64" s="1"/>
  <c r="F399" i="64"/>
  <c r="F398" i="64" s="1"/>
  <c r="F402" i="64" s="1"/>
  <c r="E399" i="64"/>
  <c r="D399" i="64"/>
  <c r="D398" i="64" s="1"/>
  <c r="D402" i="64" s="1"/>
  <c r="K398" i="64"/>
  <c r="K402" i="64" s="1"/>
  <c r="J398" i="64"/>
  <c r="J402" i="64" s="1"/>
  <c r="E398" i="64"/>
  <c r="E402" i="64" s="1"/>
  <c r="C395" i="64"/>
  <c r="K394" i="64"/>
  <c r="J394" i="64"/>
  <c r="I394" i="64"/>
  <c r="H394" i="64"/>
  <c r="G394" i="64"/>
  <c r="F394" i="64"/>
  <c r="E394" i="64"/>
  <c r="D394" i="64"/>
  <c r="K393" i="64"/>
  <c r="J393" i="64"/>
  <c r="I393" i="64"/>
  <c r="H393" i="64"/>
  <c r="G393" i="64"/>
  <c r="F393" i="64"/>
  <c r="E393" i="64"/>
  <c r="D393" i="64"/>
  <c r="K392" i="64"/>
  <c r="J392" i="64"/>
  <c r="I392" i="64"/>
  <c r="H392" i="64"/>
  <c r="G392" i="64"/>
  <c r="F392" i="64"/>
  <c r="E392" i="64"/>
  <c r="D392" i="64"/>
  <c r="K391" i="64"/>
  <c r="J391" i="64"/>
  <c r="I391" i="64"/>
  <c r="H391" i="64"/>
  <c r="G391" i="64"/>
  <c r="F391" i="64"/>
  <c r="E391" i="64"/>
  <c r="D391" i="64"/>
  <c r="K390" i="64"/>
  <c r="J390" i="64"/>
  <c r="I390" i="64"/>
  <c r="H390" i="64"/>
  <c r="G390" i="64"/>
  <c r="F390" i="64"/>
  <c r="E390" i="64"/>
  <c r="D390" i="64"/>
  <c r="K389" i="64"/>
  <c r="J389" i="64"/>
  <c r="I389" i="64"/>
  <c r="H389" i="64"/>
  <c r="G389" i="64"/>
  <c r="F389" i="64"/>
  <c r="E389" i="64"/>
  <c r="D389" i="64"/>
  <c r="K384" i="64"/>
  <c r="J384" i="64"/>
  <c r="I384" i="64"/>
  <c r="H384" i="64"/>
  <c r="G384" i="64"/>
  <c r="F384" i="64"/>
  <c r="E384" i="64"/>
  <c r="D384" i="64"/>
  <c r="K377" i="64"/>
  <c r="J377" i="64"/>
  <c r="I377" i="64"/>
  <c r="H377" i="64"/>
  <c r="G377" i="64"/>
  <c r="F377" i="64"/>
  <c r="E377" i="64"/>
  <c r="D377" i="64"/>
  <c r="K376" i="64"/>
  <c r="J376" i="64"/>
  <c r="I376" i="64"/>
  <c r="H376" i="64"/>
  <c r="G376" i="64"/>
  <c r="F376" i="64"/>
  <c r="E376" i="64"/>
  <c r="D376" i="64"/>
  <c r="K375" i="64"/>
  <c r="J375" i="64"/>
  <c r="I375" i="64"/>
  <c r="H375" i="64"/>
  <c r="G375" i="64"/>
  <c r="F375" i="64"/>
  <c r="E375" i="64"/>
  <c r="D375" i="64"/>
  <c r="C373" i="64"/>
  <c r="K372" i="64"/>
  <c r="J372" i="64"/>
  <c r="I372" i="64"/>
  <c r="H372" i="64"/>
  <c r="G372" i="64"/>
  <c r="F372" i="64"/>
  <c r="E372" i="64"/>
  <c r="D372" i="64"/>
  <c r="K371" i="64"/>
  <c r="J371" i="64"/>
  <c r="I371" i="64"/>
  <c r="H371" i="64"/>
  <c r="G371" i="64"/>
  <c r="F371" i="64"/>
  <c r="E371" i="64"/>
  <c r="D371" i="64"/>
  <c r="K369" i="64"/>
  <c r="J369" i="64"/>
  <c r="I369" i="64"/>
  <c r="H369" i="64"/>
  <c r="G369" i="64"/>
  <c r="F369" i="64"/>
  <c r="E369" i="64"/>
  <c r="D369" i="64"/>
  <c r="K368" i="64"/>
  <c r="J368" i="64"/>
  <c r="I368" i="64"/>
  <c r="H368" i="64"/>
  <c r="G368" i="64"/>
  <c r="F368" i="64"/>
  <c r="E368" i="64"/>
  <c r="D368" i="64"/>
  <c r="K367" i="64"/>
  <c r="J367" i="64"/>
  <c r="I367" i="64"/>
  <c r="H367" i="64"/>
  <c r="G367" i="64"/>
  <c r="F367" i="64"/>
  <c r="E367" i="64"/>
  <c r="D367" i="64"/>
  <c r="K366" i="64"/>
  <c r="J366" i="64"/>
  <c r="I366" i="64"/>
  <c r="H366" i="64"/>
  <c r="G366" i="64"/>
  <c r="F366" i="64"/>
  <c r="E366" i="64"/>
  <c r="D366" i="64"/>
  <c r="K361" i="64"/>
  <c r="J361" i="64"/>
  <c r="I361" i="64"/>
  <c r="H361" i="64"/>
  <c r="G361" i="64"/>
  <c r="F361" i="64"/>
  <c r="E361" i="64"/>
  <c r="D361" i="64"/>
  <c r="K360" i="64"/>
  <c r="J360" i="64"/>
  <c r="I360" i="64"/>
  <c r="H360" i="64"/>
  <c r="G360" i="64"/>
  <c r="F360" i="64"/>
  <c r="E360" i="64"/>
  <c r="D360" i="64"/>
  <c r="K352" i="64"/>
  <c r="J352" i="64"/>
  <c r="I352" i="64"/>
  <c r="H352" i="64"/>
  <c r="G352" i="64"/>
  <c r="F352" i="64"/>
  <c r="E352" i="64"/>
  <c r="D352" i="64"/>
  <c r="K351" i="64"/>
  <c r="J351" i="64"/>
  <c r="I351" i="64"/>
  <c r="H351" i="64"/>
  <c r="G351" i="64"/>
  <c r="F351" i="64"/>
  <c r="E351" i="64"/>
  <c r="D351" i="64"/>
  <c r="K345" i="64"/>
  <c r="J345" i="64"/>
  <c r="I345" i="64"/>
  <c r="H345" i="64"/>
  <c r="G345" i="64"/>
  <c r="F345" i="64"/>
  <c r="E345" i="64"/>
  <c r="D345" i="64"/>
  <c r="K342" i="64"/>
  <c r="J342" i="64"/>
  <c r="I342" i="64"/>
  <c r="H342" i="64"/>
  <c r="G342" i="64"/>
  <c r="F342" i="64"/>
  <c r="E342" i="64"/>
  <c r="D342" i="64"/>
  <c r="K338" i="64"/>
  <c r="J338" i="64"/>
  <c r="I338" i="64"/>
  <c r="H338" i="64"/>
  <c r="G338" i="64"/>
  <c r="F338" i="64"/>
  <c r="E338" i="64"/>
  <c r="D338" i="64"/>
  <c r="K332" i="64"/>
  <c r="J332" i="64"/>
  <c r="I332" i="64"/>
  <c r="H332" i="64"/>
  <c r="G332" i="64"/>
  <c r="F332" i="64"/>
  <c r="E332" i="64"/>
  <c r="D332" i="64"/>
  <c r="K331" i="64"/>
  <c r="J331" i="64"/>
  <c r="I331" i="64"/>
  <c r="H331" i="64"/>
  <c r="G331" i="64"/>
  <c r="F331" i="64"/>
  <c r="E331" i="64"/>
  <c r="D331" i="64"/>
  <c r="K326" i="64"/>
  <c r="J326" i="64"/>
  <c r="I326" i="64"/>
  <c r="H326" i="64"/>
  <c r="G326" i="64"/>
  <c r="F326" i="64"/>
  <c r="E326" i="64"/>
  <c r="D326" i="64"/>
  <c r="K325" i="64"/>
  <c r="J325" i="64"/>
  <c r="I325" i="64"/>
  <c r="H325" i="64"/>
  <c r="G325" i="64"/>
  <c r="F325" i="64"/>
  <c r="E325" i="64"/>
  <c r="D325" i="64"/>
  <c r="K319" i="64"/>
  <c r="J319" i="64"/>
  <c r="I319" i="64"/>
  <c r="H319" i="64"/>
  <c r="G319" i="64"/>
  <c r="F319" i="64"/>
  <c r="E319" i="64"/>
  <c r="D319" i="64"/>
  <c r="K318" i="64"/>
  <c r="J318" i="64"/>
  <c r="I318" i="64"/>
  <c r="H318" i="64"/>
  <c r="G318" i="64"/>
  <c r="F318" i="64"/>
  <c r="E318" i="64"/>
  <c r="D318" i="64"/>
  <c r="K317" i="64"/>
  <c r="J317" i="64"/>
  <c r="I317" i="64"/>
  <c r="H317" i="64"/>
  <c r="G317" i="64"/>
  <c r="F317" i="64"/>
  <c r="E317" i="64"/>
  <c r="D317" i="64"/>
  <c r="K311" i="64"/>
  <c r="J311" i="64"/>
  <c r="I311" i="64"/>
  <c r="H311" i="64"/>
  <c r="G311" i="64"/>
  <c r="F311" i="64"/>
  <c r="E311" i="64"/>
  <c r="D311" i="64"/>
  <c r="K310" i="64"/>
  <c r="J310" i="64"/>
  <c r="I310" i="64"/>
  <c r="H310" i="64"/>
  <c r="G310" i="64"/>
  <c r="F310" i="64"/>
  <c r="E310" i="64"/>
  <c r="D310" i="64"/>
  <c r="K307" i="64"/>
  <c r="J307" i="64"/>
  <c r="I307" i="64"/>
  <c r="H307" i="64"/>
  <c r="G307" i="64"/>
  <c r="F307" i="64"/>
  <c r="E307" i="64"/>
  <c r="D307" i="64"/>
  <c r="K304" i="64"/>
  <c r="K305" i="64" s="1"/>
  <c r="J304" i="64"/>
  <c r="J305" i="64" s="1"/>
  <c r="I304" i="64"/>
  <c r="I305" i="64" s="1"/>
  <c r="H304" i="64"/>
  <c r="H305" i="64" s="1"/>
  <c r="G304" i="64"/>
  <c r="G305" i="64" s="1"/>
  <c r="F304" i="64"/>
  <c r="F305" i="64" s="1"/>
  <c r="E304" i="64"/>
  <c r="E305" i="64" s="1"/>
  <c r="D304" i="64"/>
  <c r="D305" i="64" s="1"/>
  <c r="K301" i="64"/>
  <c r="J301" i="64"/>
  <c r="I301" i="64"/>
  <c r="H301" i="64"/>
  <c r="G301" i="64"/>
  <c r="F301" i="64"/>
  <c r="E301" i="64"/>
  <c r="D301" i="64"/>
  <c r="K300" i="64"/>
  <c r="J300" i="64"/>
  <c r="I300" i="64"/>
  <c r="H300" i="64"/>
  <c r="G300" i="64"/>
  <c r="F300" i="64"/>
  <c r="E300" i="64"/>
  <c r="D300" i="64"/>
  <c r="K297" i="64"/>
  <c r="J297" i="64"/>
  <c r="I297" i="64"/>
  <c r="H297" i="64"/>
  <c r="G297" i="64"/>
  <c r="F297" i="64"/>
  <c r="E297" i="64"/>
  <c r="D297" i="64"/>
  <c r="K296" i="64"/>
  <c r="J296" i="64"/>
  <c r="I296" i="64"/>
  <c r="H296" i="64"/>
  <c r="G296" i="64"/>
  <c r="F296" i="64"/>
  <c r="E296" i="64"/>
  <c r="D296" i="64"/>
  <c r="K293" i="64"/>
  <c r="J293" i="64"/>
  <c r="I293" i="64"/>
  <c r="H293" i="64"/>
  <c r="G293" i="64"/>
  <c r="F293" i="64"/>
  <c r="E293" i="64"/>
  <c r="D293" i="64"/>
  <c r="K292" i="64"/>
  <c r="J292" i="64"/>
  <c r="I292" i="64"/>
  <c r="H292" i="64"/>
  <c r="G292" i="64"/>
  <c r="F292" i="64"/>
  <c r="E292" i="64"/>
  <c r="D292" i="64"/>
  <c r="K289" i="64"/>
  <c r="J289" i="64"/>
  <c r="I289" i="64"/>
  <c r="H289" i="64"/>
  <c r="G289" i="64"/>
  <c r="F289" i="64"/>
  <c r="E289" i="64"/>
  <c r="D289" i="64"/>
  <c r="K280" i="64"/>
  <c r="J280" i="64"/>
  <c r="I280" i="64"/>
  <c r="H280" i="64"/>
  <c r="G280" i="64"/>
  <c r="F280" i="64"/>
  <c r="E280" i="64"/>
  <c r="D280" i="64"/>
  <c r="K279" i="64"/>
  <c r="J279" i="64"/>
  <c r="I279" i="64"/>
  <c r="H279" i="64"/>
  <c r="G279" i="64"/>
  <c r="F279" i="64"/>
  <c r="E279" i="64"/>
  <c r="D279" i="64"/>
  <c r="K278" i="64"/>
  <c r="K281" i="64" s="1"/>
  <c r="J278" i="64"/>
  <c r="J281" i="64" s="1"/>
  <c r="I278" i="64"/>
  <c r="I281" i="64" s="1"/>
  <c r="H278" i="64"/>
  <c r="H281" i="64" s="1"/>
  <c r="G278" i="64"/>
  <c r="G281" i="64" s="1"/>
  <c r="F278" i="64"/>
  <c r="F281" i="64" s="1"/>
  <c r="E278" i="64"/>
  <c r="E281" i="64" s="1"/>
  <c r="D278" i="64"/>
  <c r="D281" i="64" s="1"/>
  <c r="K275" i="64"/>
  <c r="J275" i="64"/>
  <c r="I275" i="64"/>
  <c r="H275" i="64"/>
  <c r="G275" i="64"/>
  <c r="F275" i="64"/>
  <c r="E275" i="64"/>
  <c r="D275" i="64"/>
  <c r="K274" i="64"/>
  <c r="J274" i="64"/>
  <c r="I274" i="64"/>
  <c r="H274" i="64"/>
  <c r="G274" i="64"/>
  <c r="F274" i="64"/>
  <c r="E274" i="64"/>
  <c r="D274" i="64"/>
  <c r="K271" i="64"/>
  <c r="J271" i="64"/>
  <c r="I271" i="64"/>
  <c r="H271" i="64"/>
  <c r="G271" i="64"/>
  <c r="F271" i="64"/>
  <c r="E271" i="64"/>
  <c r="D271" i="64"/>
  <c r="K270" i="64"/>
  <c r="J270" i="64"/>
  <c r="I270" i="64"/>
  <c r="H270" i="64"/>
  <c r="G270" i="64"/>
  <c r="F270" i="64"/>
  <c r="E270" i="64"/>
  <c r="D270" i="64"/>
  <c r="K267" i="64"/>
  <c r="J267" i="64"/>
  <c r="I267" i="64"/>
  <c r="H267" i="64"/>
  <c r="G267" i="64"/>
  <c r="F267" i="64"/>
  <c r="E267" i="64"/>
  <c r="D267" i="64"/>
  <c r="K257" i="64"/>
  <c r="J257" i="64"/>
  <c r="I257" i="64"/>
  <c r="H257" i="64"/>
  <c r="G257" i="64"/>
  <c r="F257" i="64"/>
  <c r="E257" i="64"/>
  <c r="D257" i="64"/>
  <c r="K248" i="64"/>
  <c r="J248" i="64"/>
  <c r="I248" i="64"/>
  <c r="H248" i="64"/>
  <c r="G248" i="64"/>
  <c r="F248" i="64"/>
  <c r="E248" i="64"/>
  <c r="D248" i="64"/>
  <c r="K247" i="64"/>
  <c r="K249" i="64" s="1"/>
  <c r="J247" i="64"/>
  <c r="J249" i="64" s="1"/>
  <c r="I247" i="64"/>
  <c r="I249" i="64" s="1"/>
  <c r="H247" i="64"/>
  <c r="H249" i="64" s="1"/>
  <c r="G247" i="64"/>
  <c r="G249" i="64" s="1"/>
  <c r="F247" i="64"/>
  <c r="F249" i="64" s="1"/>
  <c r="E247" i="64"/>
  <c r="E249" i="64" s="1"/>
  <c r="D247" i="64"/>
  <c r="D249" i="64" s="1"/>
  <c r="K244" i="64"/>
  <c r="J244" i="64"/>
  <c r="I244" i="64"/>
  <c r="H244" i="64"/>
  <c r="G244" i="64"/>
  <c r="F244" i="64"/>
  <c r="E244" i="64"/>
  <c r="D244" i="64"/>
  <c r="K243" i="64"/>
  <c r="J243" i="64"/>
  <c r="I243" i="64"/>
  <c r="H243" i="64"/>
  <c r="G243" i="64"/>
  <c r="F243" i="64"/>
  <c r="E243" i="64"/>
  <c r="D243" i="64"/>
  <c r="K240" i="64"/>
  <c r="J240" i="64"/>
  <c r="I240" i="64"/>
  <c r="H240" i="64"/>
  <c r="G240" i="64"/>
  <c r="F240" i="64"/>
  <c r="E240" i="64"/>
  <c r="D240" i="64"/>
  <c r="K237" i="64"/>
  <c r="J237" i="64"/>
  <c r="I237" i="64"/>
  <c r="H237" i="64"/>
  <c r="G237" i="64"/>
  <c r="F237" i="64"/>
  <c r="E237" i="64"/>
  <c r="D237" i="64"/>
  <c r="K233" i="64"/>
  <c r="J233" i="64"/>
  <c r="I233" i="64"/>
  <c r="H233" i="64"/>
  <c r="G233" i="64"/>
  <c r="F233" i="64"/>
  <c r="E233" i="64"/>
  <c r="D233" i="64"/>
  <c r="K232" i="64"/>
  <c r="J232" i="64"/>
  <c r="I232" i="64"/>
  <c r="H232" i="64"/>
  <c r="G232" i="64"/>
  <c r="F232" i="64"/>
  <c r="E232" i="64"/>
  <c r="D232" i="64"/>
  <c r="K230" i="64"/>
  <c r="J230" i="64"/>
  <c r="I230" i="64"/>
  <c r="H230" i="64"/>
  <c r="G230" i="64"/>
  <c r="F230" i="64"/>
  <c r="E230" i="64"/>
  <c r="D230" i="64"/>
  <c r="K229" i="64"/>
  <c r="J229" i="64"/>
  <c r="I229" i="64"/>
  <c r="H229" i="64"/>
  <c r="G229" i="64"/>
  <c r="F229" i="64"/>
  <c r="E229" i="64"/>
  <c r="D229" i="64"/>
  <c r="K228" i="64"/>
  <c r="J228" i="64"/>
  <c r="I228" i="64"/>
  <c r="H228" i="64"/>
  <c r="G228" i="64"/>
  <c r="F228" i="64"/>
  <c r="E228" i="64"/>
  <c r="D228" i="64"/>
  <c r="K223" i="64"/>
  <c r="J223" i="64"/>
  <c r="I223" i="64"/>
  <c r="H223" i="64"/>
  <c r="G223" i="64"/>
  <c r="F223" i="64"/>
  <c r="E223" i="64"/>
  <c r="D223" i="64"/>
  <c r="K222" i="64"/>
  <c r="J222" i="64"/>
  <c r="I222" i="64"/>
  <c r="H222" i="64"/>
  <c r="G222" i="64"/>
  <c r="F222" i="64"/>
  <c r="E222" i="64"/>
  <c r="D222" i="64"/>
  <c r="K221" i="64"/>
  <c r="J221" i="64"/>
  <c r="I221" i="64"/>
  <c r="H221" i="64"/>
  <c r="G221" i="64"/>
  <c r="F221" i="64"/>
  <c r="E221" i="64"/>
  <c r="D221" i="64"/>
  <c r="K220" i="64"/>
  <c r="J220" i="64"/>
  <c r="I220" i="64"/>
  <c r="H220" i="64"/>
  <c r="G220" i="64"/>
  <c r="F220" i="64"/>
  <c r="E220" i="64"/>
  <c r="D220" i="64"/>
  <c r="K216" i="64"/>
  <c r="J216" i="64"/>
  <c r="I216" i="64"/>
  <c r="H216" i="64"/>
  <c r="G216" i="64"/>
  <c r="F216" i="64"/>
  <c r="E216" i="64"/>
  <c r="D216" i="64"/>
  <c r="K215" i="64"/>
  <c r="J215" i="64"/>
  <c r="I215" i="64"/>
  <c r="H215" i="64"/>
  <c r="G215" i="64"/>
  <c r="F215" i="64"/>
  <c r="E215" i="64"/>
  <c r="D215" i="64"/>
  <c r="K214" i="64"/>
  <c r="J214" i="64"/>
  <c r="I214" i="64"/>
  <c r="H214" i="64"/>
  <c r="G214" i="64"/>
  <c r="F214" i="64"/>
  <c r="E214" i="64"/>
  <c r="D214" i="64"/>
  <c r="K213" i="64"/>
  <c r="J213" i="64"/>
  <c r="I213" i="64"/>
  <c r="H213" i="64"/>
  <c r="G213" i="64"/>
  <c r="F213" i="64"/>
  <c r="E213" i="64"/>
  <c r="D213" i="64"/>
  <c r="K210" i="64"/>
  <c r="J210" i="64"/>
  <c r="I210" i="64"/>
  <c r="H210" i="64"/>
  <c r="G210" i="64"/>
  <c r="F210" i="64"/>
  <c r="E210" i="64"/>
  <c r="D210" i="64"/>
  <c r="K209" i="64"/>
  <c r="J209" i="64"/>
  <c r="I209" i="64"/>
  <c r="H209" i="64"/>
  <c r="G209" i="64"/>
  <c r="F209" i="64"/>
  <c r="E209" i="64"/>
  <c r="D209" i="64"/>
  <c r="K205" i="64"/>
  <c r="J205" i="64"/>
  <c r="I205" i="64"/>
  <c r="H205" i="64"/>
  <c r="G205" i="64"/>
  <c r="F205" i="64"/>
  <c r="E205" i="64"/>
  <c r="D205" i="64"/>
  <c r="K204" i="64"/>
  <c r="J204" i="64"/>
  <c r="I204" i="64"/>
  <c r="H204" i="64"/>
  <c r="G204" i="64"/>
  <c r="F204" i="64"/>
  <c r="E204" i="64"/>
  <c r="D204" i="64"/>
  <c r="K203" i="64"/>
  <c r="J203" i="64"/>
  <c r="I203" i="64"/>
  <c r="H203" i="64"/>
  <c r="G203" i="64"/>
  <c r="F203" i="64"/>
  <c r="E203" i="64"/>
  <c r="D203" i="64"/>
  <c r="K199" i="64"/>
  <c r="J199" i="64"/>
  <c r="I199" i="64"/>
  <c r="H199" i="64"/>
  <c r="G199" i="64"/>
  <c r="F199" i="64"/>
  <c r="E199" i="64"/>
  <c r="D199" i="64"/>
  <c r="K198" i="64"/>
  <c r="J198" i="64"/>
  <c r="I198" i="64"/>
  <c r="H198" i="64"/>
  <c r="G198" i="64"/>
  <c r="F198" i="64"/>
  <c r="E198" i="64"/>
  <c r="D198" i="64"/>
  <c r="K197" i="64"/>
  <c r="J197" i="64"/>
  <c r="I197" i="64"/>
  <c r="H197" i="64"/>
  <c r="G197" i="64"/>
  <c r="F197" i="64"/>
  <c r="E197" i="64"/>
  <c r="D197" i="64"/>
  <c r="K196" i="64"/>
  <c r="J196" i="64"/>
  <c r="I196" i="64"/>
  <c r="H196" i="64"/>
  <c r="G196" i="64"/>
  <c r="F196" i="64"/>
  <c r="E196" i="64"/>
  <c r="D196" i="64"/>
  <c r="K186" i="64"/>
  <c r="J186" i="64"/>
  <c r="I186" i="64"/>
  <c r="H186" i="64"/>
  <c r="G186" i="64"/>
  <c r="F186" i="64"/>
  <c r="E186" i="64"/>
  <c r="D186" i="64"/>
  <c r="K183" i="64"/>
  <c r="J183" i="64"/>
  <c r="I183" i="64"/>
  <c r="H183" i="64"/>
  <c r="G183" i="64"/>
  <c r="F183" i="64"/>
  <c r="E183" i="64"/>
  <c r="D183" i="64"/>
  <c r="K181" i="64"/>
  <c r="J181" i="64"/>
  <c r="I181" i="64"/>
  <c r="H181" i="64"/>
  <c r="G181" i="64"/>
  <c r="F181" i="64"/>
  <c r="E181" i="64"/>
  <c r="D181" i="64"/>
  <c r="K180" i="64"/>
  <c r="J180" i="64"/>
  <c r="I180" i="64"/>
  <c r="H180" i="64"/>
  <c r="G180" i="64"/>
  <c r="F180" i="64"/>
  <c r="E180" i="64"/>
  <c r="D180" i="64"/>
  <c r="K178" i="64"/>
  <c r="J178" i="64"/>
  <c r="I178" i="64"/>
  <c r="H178" i="64"/>
  <c r="G178" i="64"/>
  <c r="F178" i="64"/>
  <c r="E178" i="64"/>
  <c r="D178" i="64"/>
  <c r="K176" i="64"/>
  <c r="J176" i="64"/>
  <c r="I176" i="64"/>
  <c r="H176" i="64"/>
  <c r="G176" i="64"/>
  <c r="F176" i="64"/>
  <c r="E176" i="64"/>
  <c r="D176" i="64"/>
  <c r="K175" i="64"/>
  <c r="J175" i="64"/>
  <c r="I175" i="64"/>
  <c r="H175" i="64"/>
  <c r="G175" i="64"/>
  <c r="F175" i="64"/>
  <c r="E175" i="64"/>
  <c r="D175" i="64"/>
  <c r="K174" i="64"/>
  <c r="J174" i="64"/>
  <c r="I174" i="64"/>
  <c r="H174" i="64"/>
  <c r="G174" i="64"/>
  <c r="F174" i="64"/>
  <c r="E174" i="64"/>
  <c r="D174" i="64"/>
  <c r="K173" i="64"/>
  <c r="J173" i="64"/>
  <c r="I173" i="64"/>
  <c r="H173" i="64"/>
  <c r="G173" i="64"/>
  <c r="F173" i="64"/>
  <c r="E173" i="64"/>
  <c r="D173" i="64"/>
  <c r="K172" i="64"/>
  <c r="J172" i="64"/>
  <c r="I172" i="64"/>
  <c r="H172" i="64"/>
  <c r="G172" i="64"/>
  <c r="F172" i="64"/>
  <c r="E172" i="64"/>
  <c r="D172" i="64"/>
  <c r="K171" i="64"/>
  <c r="J171" i="64"/>
  <c r="I171" i="64"/>
  <c r="H171" i="64"/>
  <c r="G171" i="64"/>
  <c r="F171" i="64"/>
  <c r="E171" i="64"/>
  <c r="D171" i="64"/>
  <c r="K161" i="64"/>
  <c r="J161" i="64"/>
  <c r="I161" i="64"/>
  <c r="H161" i="64"/>
  <c r="G161" i="64"/>
  <c r="F161" i="64"/>
  <c r="E161" i="64"/>
  <c r="D161" i="64"/>
  <c r="K160" i="64"/>
  <c r="J160" i="64"/>
  <c r="I160" i="64"/>
  <c r="H160" i="64"/>
  <c r="G160" i="64"/>
  <c r="F160" i="64"/>
  <c r="E160" i="64"/>
  <c r="D160" i="64"/>
  <c r="K153" i="64"/>
  <c r="J153" i="64"/>
  <c r="I153" i="64"/>
  <c r="H153" i="64"/>
  <c r="G153" i="64"/>
  <c r="F153" i="64"/>
  <c r="E153" i="64"/>
  <c r="D153" i="64"/>
  <c r="K152" i="64"/>
  <c r="J152" i="64"/>
  <c r="I152" i="64"/>
  <c r="H152" i="64"/>
  <c r="G152" i="64"/>
  <c r="F152" i="64"/>
  <c r="E152" i="64"/>
  <c r="D152" i="64"/>
  <c r="K151" i="64"/>
  <c r="J151" i="64"/>
  <c r="I151" i="64"/>
  <c r="H151" i="64"/>
  <c r="G151" i="64"/>
  <c r="F151" i="64"/>
  <c r="E151" i="64"/>
  <c r="D151" i="64"/>
  <c r="K144" i="64"/>
  <c r="J144" i="64"/>
  <c r="I144" i="64"/>
  <c r="H144" i="64"/>
  <c r="G144" i="64"/>
  <c r="F144" i="64"/>
  <c r="E144" i="64"/>
  <c r="D144" i="64"/>
  <c r="K143" i="64"/>
  <c r="J143" i="64"/>
  <c r="I143" i="64"/>
  <c r="H143" i="64"/>
  <c r="G143" i="64"/>
  <c r="F143" i="64"/>
  <c r="E143" i="64"/>
  <c r="D143" i="64"/>
  <c r="K138" i="64"/>
  <c r="J138" i="64"/>
  <c r="I138" i="64"/>
  <c r="H138" i="64"/>
  <c r="G138" i="64"/>
  <c r="F138" i="64"/>
  <c r="E138" i="64"/>
  <c r="D138" i="64"/>
  <c r="K135" i="64"/>
  <c r="K136" i="64" s="1"/>
  <c r="J135" i="64"/>
  <c r="J136" i="64" s="1"/>
  <c r="I135" i="64"/>
  <c r="I136" i="64" s="1"/>
  <c r="H135" i="64"/>
  <c r="H136" i="64" s="1"/>
  <c r="G135" i="64"/>
  <c r="G136" i="64" s="1"/>
  <c r="F135" i="64"/>
  <c r="F136" i="64" s="1"/>
  <c r="E135" i="64"/>
  <c r="E136" i="64" s="1"/>
  <c r="D135" i="64"/>
  <c r="D136" i="64" s="1"/>
  <c r="K129" i="64"/>
  <c r="J129" i="64"/>
  <c r="I129" i="64"/>
  <c r="H129" i="64"/>
  <c r="G129" i="64"/>
  <c r="F129" i="64"/>
  <c r="E129" i="64"/>
  <c r="D129" i="64"/>
  <c r="K128" i="64"/>
  <c r="J128" i="64"/>
  <c r="I128" i="64"/>
  <c r="H128" i="64"/>
  <c r="G128" i="64"/>
  <c r="F128" i="64"/>
  <c r="E128" i="64"/>
  <c r="D128" i="64"/>
  <c r="K127" i="64"/>
  <c r="J127" i="64"/>
  <c r="I127" i="64"/>
  <c r="H127" i="64"/>
  <c r="G127" i="64"/>
  <c r="F127" i="64"/>
  <c r="E127" i="64"/>
  <c r="D127" i="64"/>
  <c r="K126" i="64"/>
  <c r="J126" i="64"/>
  <c r="I126" i="64"/>
  <c r="H126" i="64"/>
  <c r="G126" i="64"/>
  <c r="F126" i="64"/>
  <c r="E126" i="64"/>
  <c r="D126" i="64"/>
  <c r="K125" i="64"/>
  <c r="J125" i="64"/>
  <c r="I125" i="64"/>
  <c r="H125" i="64"/>
  <c r="G125" i="64"/>
  <c r="F125" i="64"/>
  <c r="E125" i="64"/>
  <c r="D125" i="64"/>
  <c r="K118" i="64"/>
  <c r="J118" i="64"/>
  <c r="I118" i="64"/>
  <c r="H118" i="64"/>
  <c r="G118" i="64"/>
  <c r="F118" i="64"/>
  <c r="E118" i="64"/>
  <c r="D118" i="64"/>
  <c r="K117" i="64"/>
  <c r="J117" i="64"/>
  <c r="I117" i="64"/>
  <c r="H117" i="64"/>
  <c r="G117" i="64"/>
  <c r="F117" i="64"/>
  <c r="E117" i="64"/>
  <c r="D117" i="64"/>
  <c r="K116" i="64"/>
  <c r="J116" i="64"/>
  <c r="I116" i="64"/>
  <c r="H116" i="64"/>
  <c r="G116" i="64"/>
  <c r="F116" i="64"/>
  <c r="E116" i="64"/>
  <c r="D116" i="64"/>
  <c r="K115" i="64"/>
  <c r="J115" i="64"/>
  <c r="I115" i="64"/>
  <c r="H115" i="64"/>
  <c r="G115" i="64"/>
  <c r="F115" i="64"/>
  <c r="E115" i="64"/>
  <c r="D115" i="64"/>
  <c r="K114" i="64"/>
  <c r="J114" i="64"/>
  <c r="I114" i="64"/>
  <c r="H114" i="64"/>
  <c r="G114" i="64"/>
  <c r="F114" i="64"/>
  <c r="E114" i="64"/>
  <c r="D114" i="64"/>
  <c r="K113" i="64"/>
  <c r="J113" i="64"/>
  <c r="I113" i="64"/>
  <c r="H113" i="64"/>
  <c r="G113" i="64"/>
  <c r="F113" i="64"/>
  <c r="E113" i="64"/>
  <c r="D113" i="64"/>
  <c r="K111" i="64"/>
  <c r="J111" i="64"/>
  <c r="I111" i="64"/>
  <c r="H111" i="64"/>
  <c r="G111" i="64"/>
  <c r="F111" i="64"/>
  <c r="E111" i="64"/>
  <c r="D111" i="64"/>
  <c r="K110" i="64"/>
  <c r="J110" i="64"/>
  <c r="I110" i="64"/>
  <c r="H110" i="64"/>
  <c r="G110" i="64"/>
  <c r="F110" i="64"/>
  <c r="E110" i="64"/>
  <c r="D110" i="64"/>
  <c r="K109" i="64"/>
  <c r="J109" i="64"/>
  <c r="I109" i="64"/>
  <c r="H109" i="64"/>
  <c r="G109" i="64"/>
  <c r="F109" i="64"/>
  <c r="E109" i="64"/>
  <c r="D109" i="64"/>
  <c r="K108" i="64"/>
  <c r="J108" i="64"/>
  <c r="I108" i="64"/>
  <c r="H108" i="64"/>
  <c r="G108" i="64"/>
  <c r="F108" i="64"/>
  <c r="E108" i="64"/>
  <c r="D108" i="64"/>
  <c r="K107" i="64"/>
  <c r="J107" i="64"/>
  <c r="I107" i="64"/>
  <c r="H107" i="64"/>
  <c r="G107" i="64"/>
  <c r="F107" i="64"/>
  <c r="E107" i="64"/>
  <c r="D107" i="64"/>
  <c r="K100" i="64"/>
  <c r="J100" i="64"/>
  <c r="I100" i="64"/>
  <c r="H100" i="64"/>
  <c r="G100" i="64"/>
  <c r="F100" i="64"/>
  <c r="E100" i="64"/>
  <c r="D100" i="64"/>
  <c r="K99" i="64"/>
  <c r="J99" i="64"/>
  <c r="I99" i="64"/>
  <c r="H99" i="64"/>
  <c r="G99" i="64"/>
  <c r="F99" i="64"/>
  <c r="E99" i="64"/>
  <c r="D99" i="64"/>
  <c r="K98" i="64"/>
  <c r="J98" i="64"/>
  <c r="I98" i="64"/>
  <c r="H98" i="64"/>
  <c r="G98" i="64"/>
  <c r="F98" i="64"/>
  <c r="E98" i="64"/>
  <c r="D98" i="64"/>
  <c r="K95" i="64"/>
  <c r="J95" i="64"/>
  <c r="I95" i="64"/>
  <c r="H95" i="64"/>
  <c r="G95" i="64"/>
  <c r="F95" i="64"/>
  <c r="E95" i="64"/>
  <c r="D95" i="64"/>
  <c r="K94" i="64"/>
  <c r="J94" i="64"/>
  <c r="I94" i="64"/>
  <c r="H94" i="64"/>
  <c r="G94" i="64"/>
  <c r="F94" i="64"/>
  <c r="E94" i="64"/>
  <c r="D94" i="64"/>
  <c r="K93" i="64"/>
  <c r="J93" i="64"/>
  <c r="I93" i="64"/>
  <c r="H93" i="64"/>
  <c r="G93" i="64"/>
  <c r="F93" i="64"/>
  <c r="E93" i="64"/>
  <c r="D93" i="64"/>
  <c r="K92" i="64"/>
  <c r="J92" i="64"/>
  <c r="I92" i="64"/>
  <c r="H92" i="64"/>
  <c r="G92" i="64"/>
  <c r="F92" i="64"/>
  <c r="E92" i="64"/>
  <c r="D92" i="64"/>
  <c r="K91" i="64"/>
  <c r="J91" i="64"/>
  <c r="I91" i="64"/>
  <c r="H91" i="64"/>
  <c r="G91" i="64"/>
  <c r="F91" i="64"/>
  <c r="E91" i="64"/>
  <c r="D91" i="64"/>
  <c r="K86" i="64"/>
  <c r="J86" i="64"/>
  <c r="I86" i="64"/>
  <c r="H86" i="64"/>
  <c r="G86" i="64"/>
  <c r="F86" i="64"/>
  <c r="E86" i="64"/>
  <c r="D86" i="64"/>
  <c r="K85" i="64"/>
  <c r="J85" i="64"/>
  <c r="I85" i="64"/>
  <c r="H85" i="64"/>
  <c r="G85" i="64"/>
  <c r="F85" i="64"/>
  <c r="E85" i="64"/>
  <c r="D85" i="64"/>
  <c r="K83" i="64"/>
  <c r="J83" i="64"/>
  <c r="I83" i="64"/>
  <c r="H83" i="64"/>
  <c r="G83" i="64"/>
  <c r="F83" i="64"/>
  <c r="E83" i="64"/>
  <c r="D83" i="64"/>
  <c r="K82" i="64"/>
  <c r="J82" i="64"/>
  <c r="I82" i="64"/>
  <c r="H82" i="64"/>
  <c r="G82" i="64"/>
  <c r="F82" i="64"/>
  <c r="E82" i="64"/>
  <c r="D82" i="64"/>
  <c r="K81" i="64"/>
  <c r="J81" i="64"/>
  <c r="I81" i="64"/>
  <c r="H81" i="64"/>
  <c r="G81" i="64"/>
  <c r="F81" i="64"/>
  <c r="E81" i="64"/>
  <c r="D81" i="64"/>
  <c r="K80" i="64"/>
  <c r="J80" i="64"/>
  <c r="I80" i="64"/>
  <c r="H80" i="64"/>
  <c r="G80" i="64"/>
  <c r="F80" i="64"/>
  <c r="E80" i="64"/>
  <c r="D80" i="64"/>
  <c r="K79" i="64"/>
  <c r="J79" i="64"/>
  <c r="I79" i="64"/>
  <c r="H79" i="64"/>
  <c r="G79" i="64"/>
  <c r="F79" i="64"/>
  <c r="E79" i="64"/>
  <c r="D79" i="64"/>
  <c r="K74" i="64"/>
  <c r="J74" i="64"/>
  <c r="I74" i="64"/>
  <c r="H74" i="64"/>
  <c r="G74" i="64"/>
  <c r="F74" i="64"/>
  <c r="E74" i="64"/>
  <c r="D74" i="64"/>
  <c r="K73" i="64"/>
  <c r="K380" i="64" s="1"/>
  <c r="J73" i="64"/>
  <c r="J380" i="64" s="1"/>
  <c r="I73" i="64"/>
  <c r="I380" i="64" s="1"/>
  <c r="H73" i="64"/>
  <c r="H380" i="64" s="1"/>
  <c r="G73" i="64"/>
  <c r="G380" i="64" s="1"/>
  <c r="F73" i="64"/>
  <c r="F380" i="64" s="1"/>
  <c r="E73" i="64"/>
  <c r="E380" i="64" s="1"/>
  <c r="D73" i="64"/>
  <c r="D380" i="64" s="1"/>
  <c r="K69" i="64"/>
  <c r="J69" i="64"/>
  <c r="I69" i="64"/>
  <c r="H69" i="64"/>
  <c r="G69" i="64"/>
  <c r="F69" i="64"/>
  <c r="E69" i="64"/>
  <c r="D69" i="64"/>
  <c r="K60" i="64"/>
  <c r="J60" i="64"/>
  <c r="I60" i="64"/>
  <c r="H60" i="64"/>
  <c r="G60" i="64"/>
  <c r="F60" i="64"/>
  <c r="E60" i="64"/>
  <c r="D60" i="64"/>
  <c r="K55" i="64"/>
  <c r="J55" i="64"/>
  <c r="I55" i="64"/>
  <c r="H55" i="64"/>
  <c r="G55" i="64"/>
  <c r="F55" i="64"/>
  <c r="E55" i="64"/>
  <c r="D55" i="64"/>
  <c r="K40" i="64"/>
  <c r="J40" i="64"/>
  <c r="I40" i="64"/>
  <c r="H40" i="64"/>
  <c r="G40" i="64"/>
  <c r="F40" i="64"/>
  <c r="E40" i="64"/>
  <c r="D40" i="64"/>
  <c r="K37" i="64"/>
  <c r="J37" i="64"/>
  <c r="I37" i="64"/>
  <c r="H37" i="64"/>
  <c r="G37" i="64"/>
  <c r="F37" i="64"/>
  <c r="E37" i="64"/>
  <c r="D37" i="64"/>
  <c r="K383" i="65"/>
  <c r="K384" i="65" s="1"/>
  <c r="J383" i="65"/>
  <c r="J384" i="65" s="1"/>
  <c r="I383" i="65"/>
  <c r="I384" i="65" s="1"/>
  <c r="H383" i="65"/>
  <c r="H384" i="65" s="1"/>
  <c r="G383" i="65"/>
  <c r="G384" i="65" s="1"/>
  <c r="F383" i="65"/>
  <c r="F384" i="65" s="1"/>
  <c r="E383" i="65"/>
  <c r="E384" i="65" s="1"/>
  <c r="D383" i="65"/>
  <c r="D384" i="65" s="1"/>
  <c r="B382" i="65"/>
  <c r="B381" i="65"/>
  <c r="B380" i="65"/>
  <c r="B378" i="65"/>
  <c r="K377" i="65"/>
  <c r="J377" i="65"/>
  <c r="I377" i="65"/>
  <c r="H377" i="65"/>
  <c r="G377" i="65"/>
  <c r="F377" i="65"/>
  <c r="E377" i="65"/>
  <c r="D377" i="65"/>
  <c r="B376" i="65"/>
  <c r="B375" i="65"/>
  <c r="B374" i="65"/>
  <c r="K373" i="65"/>
  <c r="J373" i="65"/>
  <c r="I373" i="65"/>
  <c r="I379" i="65" s="1"/>
  <c r="H373" i="65"/>
  <c r="G373" i="65"/>
  <c r="F373" i="65"/>
  <c r="F379" i="65" s="1"/>
  <c r="E373" i="65"/>
  <c r="E379" i="65" s="1"/>
  <c r="D373" i="65"/>
  <c r="B372" i="65"/>
  <c r="B371" i="65"/>
  <c r="B370" i="65"/>
  <c r="B369" i="65"/>
  <c r="B368" i="65"/>
  <c r="B367" i="65"/>
  <c r="B366" i="65"/>
  <c r="K363" i="65"/>
  <c r="J363" i="65"/>
  <c r="I363" i="65"/>
  <c r="H363" i="65"/>
  <c r="G363" i="65"/>
  <c r="F363" i="65"/>
  <c r="E363" i="65"/>
  <c r="D363" i="65"/>
  <c r="B362" i="65"/>
  <c r="B361" i="65"/>
  <c r="B360" i="65"/>
  <c r="B358" i="65"/>
  <c r="B357" i="65"/>
  <c r="K355" i="65"/>
  <c r="J355" i="65"/>
  <c r="I355" i="65"/>
  <c r="H355" i="65"/>
  <c r="G355" i="65"/>
  <c r="F355" i="65"/>
  <c r="E355" i="65"/>
  <c r="D355" i="65"/>
  <c r="B354" i="65"/>
  <c r="B353" i="65"/>
  <c r="B350" i="65"/>
  <c r="B349" i="65"/>
  <c r="B348" i="65"/>
  <c r="D347" i="65"/>
  <c r="D351" i="65" s="1"/>
  <c r="B347" i="65"/>
  <c r="B346" i="65"/>
  <c r="B345" i="65"/>
  <c r="B344" i="65"/>
  <c r="B343" i="65"/>
  <c r="B342" i="65"/>
  <c r="B341" i="65"/>
  <c r="K339" i="65"/>
  <c r="J339" i="65"/>
  <c r="I339" i="65"/>
  <c r="H339" i="65"/>
  <c r="G339" i="65"/>
  <c r="F339" i="65"/>
  <c r="E339" i="65"/>
  <c r="D339" i="65"/>
  <c r="B338" i="65"/>
  <c r="B337" i="65"/>
  <c r="B336" i="65"/>
  <c r="C333" i="65"/>
  <c r="D333" i="65" s="1"/>
  <c r="E333" i="65" s="1"/>
  <c r="F333" i="65" s="1"/>
  <c r="G333" i="65" s="1"/>
  <c r="H333" i="65" s="1"/>
  <c r="I333" i="65" s="1"/>
  <c r="J333" i="65" s="1"/>
  <c r="K333" i="65" s="1"/>
  <c r="B333" i="65"/>
  <c r="B332" i="65"/>
  <c r="B331" i="65"/>
  <c r="B330" i="65"/>
  <c r="B329" i="65"/>
  <c r="B328" i="65"/>
  <c r="C327" i="65"/>
  <c r="D327" i="65" s="1"/>
  <c r="B327" i="65"/>
  <c r="B326" i="65"/>
  <c r="B325" i="65"/>
  <c r="B324" i="65"/>
  <c r="B323" i="65"/>
  <c r="K321" i="65"/>
  <c r="J321" i="65"/>
  <c r="I321" i="65"/>
  <c r="H321" i="65"/>
  <c r="G321" i="65"/>
  <c r="F321" i="65"/>
  <c r="E321" i="65"/>
  <c r="D321" i="65"/>
  <c r="B320" i="65"/>
  <c r="B319" i="65"/>
  <c r="B318" i="65"/>
  <c r="K316" i="65"/>
  <c r="J316" i="65"/>
  <c r="I316" i="65"/>
  <c r="H316" i="65"/>
  <c r="G316" i="65"/>
  <c r="F316" i="65"/>
  <c r="E316" i="65"/>
  <c r="D316" i="65"/>
  <c r="B315" i="65"/>
  <c r="B314" i="65"/>
  <c r="B313" i="65"/>
  <c r="B312" i="65"/>
  <c r="B311" i="65"/>
  <c r="B310" i="65"/>
  <c r="B308" i="65"/>
  <c r="B307" i="65"/>
  <c r="K305" i="65"/>
  <c r="J305" i="65"/>
  <c r="I305" i="65"/>
  <c r="H305" i="65"/>
  <c r="G305" i="65"/>
  <c r="F305" i="65"/>
  <c r="E305" i="65"/>
  <c r="D305" i="65"/>
  <c r="B304" i="65"/>
  <c r="B303" i="65"/>
  <c r="K301" i="65"/>
  <c r="J301" i="65"/>
  <c r="I301" i="65"/>
  <c r="H301" i="65"/>
  <c r="G301" i="65"/>
  <c r="F301" i="65"/>
  <c r="E301" i="65"/>
  <c r="D301" i="65"/>
  <c r="B300" i="65"/>
  <c r="B299" i="65"/>
  <c r="B298" i="65"/>
  <c r="B297" i="65"/>
  <c r="K295" i="65"/>
  <c r="J295" i="65"/>
  <c r="I295" i="65"/>
  <c r="H295" i="65"/>
  <c r="G295" i="65"/>
  <c r="F295" i="65"/>
  <c r="E295" i="65"/>
  <c r="D295" i="65"/>
  <c r="B294" i="65"/>
  <c r="B293" i="65"/>
  <c r="B292" i="65"/>
  <c r="B291" i="65"/>
  <c r="K289" i="65"/>
  <c r="J289" i="65"/>
  <c r="I289" i="65"/>
  <c r="H289" i="65"/>
  <c r="G289" i="65"/>
  <c r="F289" i="65"/>
  <c r="E289" i="65"/>
  <c r="D289" i="65"/>
  <c r="B288" i="65"/>
  <c r="B287" i="65"/>
  <c r="B286" i="65"/>
  <c r="B285" i="65"/>
  <c r="B283" i="65"/>
  <c r="K282" i="65"/>
  <c r="J282" i="65"/>
  <c r="I282" i="65"/>
  <c r="H282" i="65"/>
  <c r="G282" i="65"/>
  <c r="F282" i="65"/>
  <c r="E282" i="65"/>
  <c r="D282" i="65"/>
  <c r="B281" i="65"/>
  <c r="B280" i="65"/>
  <c r="B279" i="65"/>
  <c r="B278" i="65"/>
  <c r="B276" i="65"/>
  <c r="J274" i="65"/>
  <c r="I274" i="65"/>
  <c r="H274" i="65"/>
  <c r="G274" i="65"/>
  <c r="F274" i="65"/>
  <c r="E274" i="65"/>
  <c r="D274" i="65"/>
  <c r="B273" i="65"/>
  <c r="B272" i="65"/>
  <c r="B271" i="65"/>
  <c r="B270" i="65"/>
  <c r="B269" i="65"/>
  <c r="K267" i="65"/>
  <c r="J267" i="65"/>
  <c r="I267" i="65"/>
  <c r="H267" i="65"/>
  <c r="G267" i="65"/>
  <c r="F267" i="65"/>
  <c r="E267" i="65"/>
  <c r="D267" i="65"/>
  <c r="B266" i="65"/>
  <c r="B265" i="65"/>
  <c r="B264" i="65"/>
  <c r="K262" i="65"/>
  <c r="J262" i="65"/>
  <c r="I262" i="65"/>
  <c r="H262" i="65"/>
  <c r="G262" i="65"/>
  <c r="F262" i="65"/>
  <c r="E262" i="65"/>
  <c r="D262" i="65"/>
  <c r="B261" i="65"/>
  <c r="B260" i="65"/>
  <c r="B259" i="65"/>
  <c r="K257" i="65"/>
  <c r="J257" i="65"/>
  <c r="I257" i="65"/>
  <c r="H257" i="65"/>
  <c r="G257" i="65"/>
  <c r="F257" i="65"/>
  <c r="E257" i="65"/>
  <c r="D257" i="65"/>
  <c r="B256" i="65"/>
  <c r="B255" i="65"/>
  <c r="B254" i="65"/>
  <c r="B253" i="65"/>
  <c r="K251" i="65"/>
  <c r="J251" i="65"/>
  <c r="I251" i="65"/>
  <c r="H251" i="65"/>
  <c r="G251" i="65"/>
  <c r="F251" i="65"/>
  <c r="E251" i="65"/>
  <c r="D251" i="65"/>
  <c r="K246" i="65"/>
  <c r="J246" i="65"/>
  <c r="I246" i="65"/>
  <c r="H246" i="65"/>
  <c r="G246" i="65"/>
  <c r="F246" i="65"/>
  <c r="E246" i="65"/>
  <c r="D246" i="65"/>
  <c r="B245" i="65"/>
  <c r="B244" i="65"/>
  <c r="B243" i="65"/>
  <c r="K241" i="65"/>
  <c r="J241" i="65"/>
  <c r="I241" i="65"/>
  <c r="H241" i="65"/>
  <c r="G241" i="65"/>
  <c r="F241" i="65"/>
  <c r="E241" i="65"/>
  <c r="D241" i="65"/>
  <c r="B240" i="65"/>
  <c r="B239" i="65"/>
  <c r="B238" i="65"/>
  <c r="K236" i="65"/>
  <c r="J236" i="65"/>
  <c r="I236" i="65"/>
  <c r="H236" i="65"/>
  <c r="G236" i="65"/>
  <c r="F236" i="65"/>
  <c r="E236" i="65"/>
  <c r="D236" i="65"/>
  <c r="B235" i="65"/>
  <c r="B234" i="65"/>
  <c r="B233" i="65"/>
  <c r="B232" i="65"/>
  <c r="B231" i="65"/>
  <c r="B230" i="65"/>
  <c r="B229" i="65"/>
  <c r="B228" i="65"/>
  <c r="B227" i="65"/>
  <c r="K225" i="65"/>
  <c r="J225" i="65"/>
  <c r="I225" i="65"/>
  <c r="H225" i="65"/>
  <c r="G225" i="65"/>
  <c r="F225" i="65"/>
  <c r="E225" i="65"/>
  <c r="D225" i="65"/>
  <c r="B224" i="65"/>
  <c r="B223" i="65"/>
  <c r="B222" i="65"/>
  <c r="B221" i="65"/>
  <c r="K220" i="65"/>
  <c r="J220" i="65"/>
  <c r="I220" i="65"/>
  <c r="H220" i="65"/>
  <c r="G220" i="65"/>
  <c r="F220" i="65"/>
  <c r="E220" i="65"/>
  <c r="D220" i="65"/>
  <c r="B219" i="65"/>
  <c r="B218" i="65"/>
  <c r="B217" i="65"/>
  <c r="K215" i="65"/>
  <c r="J215" i="65"/>
  <c r="I215" i="65"/>
  <c r="H215" i="65"/>
  <c r="G215" i="65"/>
  <c r="F215" i="65"/>
  <c r="E215" i="65"/>
  <c r="D215" i="65"/>
  <c r="B214" i="65"/>
  <c r="B213" i="65"/>
  <c r="F211" i="65"/>
  <c r="E211" i="65"/>
  <c r="D211" i="65"/>
  <c r="B210" i="65"/>
  <c r="B209" i="65"/>
  <c r="B208" i="65"/>
  <c r="B207" i="65"/>
  <c r="B206" i="65"/>
  <c r="B203" i="65"/>
  <c r="B202" i="65"/>
  <c r="B201" i="65"/>
  <c r="B200" i="65"/>
  <c r="B199" i="65"/>
  <c r="B198" i="65"/>
  <c r="B197" i="65"/>
  <c r="B196" i="65"/>
  <c r="B195" i="65"/>
  <c r="B194" i="65"/>
  <c r="B193" i="65"/>
  <c r="B192" i="65"/>
  <c r="K191" i="65"/>
  <c r="J191" i="65"/>
  <c r="I191" i="65"/>
  <c r="H191" i="65"/>
  <c r="G191" i="65"/>
  <c r="F191" i="65"/>
  <c r="E191" i="65"/>
  <c r="D191" i="65"/>
  <c r="B190" i="65"/>
  <c r="B189" i="65"/>
  <c r="K187" i="65"/>
  <c r="J187" i="65"/>
  <c r="I187" i="65"/>
  <c r="H187" i="65"/>
  <c r="G187" i="65"/>
  <c r="F187" i="65"/>
  <c r="E187" i="65"/>
  <c r="D187" i="65"/>
  <c r="B187" i="65"/>
  <c r="K186" i="65"/>
  <c r="J186" i="65"/>
  <c r="I186" i="65"/>
  <c r="H186" i="65"/>
  <c r="G186" i="65"/>
  <c r="F186" i="65"/>
  <c r="E186" i="65"/>
  <c r="D186" i="65"/>
  <c r="B186" i="65"/>
  <c r="K185" i="65"/>
  <c r="J185" i="65"/>
  <c r="I185" i="65"/>
  <c r="H185" i="65"/>
  <c r="G185" i="65"/>
  <c r="F185" i="65"/>
  <c r="E185" i="65"/>
  <c r="D185" i="65"/>
  <c r="B184" i="65"/>
  <c r="B183" i="65"/>
  <c r="B182" i="65"/>
  <c r="B181" i="65"/>
  <c r="B180" i="65"/>
  <c r="B179" i="65"/>
  <c r="B178" i="65"/>
  <c r="K177" i="65"/>
  <c r="J177" i="65"/>
  <c r="I177" i="65"/>
  <c r="H177" i="65"/>
  <c r="G177" i="65"/>
  <c r="F177" i="65"/>
  <c r="E177" i="65"/>
  <c r="D177" i="65"/>
  <c r="B176" i="65"/>
  <c r="B175" i="65"/>
  <c r="B174" i="65"/>
  <c r="B173" i="65"/>
  <c r="B172" i="65"/>
  <c r="B171" i="65"/>
  <c r="B170" i="65"/>
  <c r="B169" i="65"/>
  <c r="B168" i="65"/>
  <c r="B167" i="65"/>
  <c r="K166" i="65"/>
  <c r="J166" i="65"/>
  <c r="I166" i="65"/>
  <c r="H166" i="65"/>
  <c r="G166" i="65"/>
  <c r="F166" i="65"/>
  <c r="E166" i="65"/>
  <c r="D166" i="65"/>
  <c r="B165" i="65"/>
  <c r="B164" i="65"/>
  <c r="B163" i="65"/>
  <c r="K162" i="65"/>
  <c r="J162" i="65"/>
  <c r="I162" i="65"/>
  <c r="H162" i="65"/>
  <c r="G162" i="65"/>
  <c r="F162" i="65"/>
  <c r="E162" i="65"/>
  <c r="D162" i="65"/>
  <c r="B161" i="65"/>
  <c r="B160" i="65"/>
  <c r="B159" i="65"/>
  <c r="B158" i="65"/>
  <c r="B157" i="65"/>
  <c r="B156" i="65"/>
  <c r="K155" i="65"/>
  <c r="J155" i="65"/>
  <c r="I155" i="65"/>
  <c r="H155" i="65"/>
  <c r="G155" i="65"/>
  <c r="F155" i="65"/>
  <c r="E155" i="65"/>
  <c r="D155" i="65"/>
  <c r="B154" i="65"/>
  <c r="B153" i="65"/>
  <c r="B152" i="65"/>
  <c r="B151" i="65"/>
  <c r="B150" i="65"/>
  <c r="B149" i="65"/>
  <c r="B146" i="65"/>
  <c r="B145" i="65"/>
  <c r="B144" i="65"/>
  <c r="B142" i="65"/>
  <c r="K141" i="65"/>
  <c r="K143" i="65" s="1"/>
  <c r="K147" i="65" s="1"/>
  <c r="J141" i="65"/>
  <c r="J143" i="65" s="1"/>
  <c r="J147" i="65" s="1"/>
  <c r="I141" i="65"/>
  <c r="I143" i="65" s="1"/>
  <c r="I147" i="65" s="1"/>
  <c r="H141" i="65"/>
  <c r="H143" i="65" s="1"/>
  <c r="H147" i="65" s="1"/>
  <c r="G141" i="65"/>
  <c r="G143" i="65" s="1"/>
  <c r="G147" i="65" s="1"/>
  <c r="F141" i="65"/>
  <c r="F143" i="65" s="1"/>
  <c r="F147" i="65" s="1"/>
  <c r="E141" i="65"/>
  <c r="E143" i="65" s="1"/>
  <c r="E147" i="65" s="1"/>
  <c r="D141" i="65"/>
  <c r="D143" i="65" s="1"/>
  <c r="D147" i="65" s="1"/>
  <c r="B140" i="65"/>
  <c r="B139" i="65"/>
  <c r="B137" i="65"/>
  <c r="K134" i="65"/>
  <c r="J134" i="65"/>
  <c r="I134" i="65"/>
  <c r="H134" i="65"/>
  <c r="G134" i="65"/>
  <c r="F134" i="65"/>
  <c r="F136" i="65" s="1"/>
  <c r="E134" i="65"/>
  <c r="D134" i="65"/>
  <c r="B133" i="65"/>
  <c r="B132" i="65"/>
  <c r="B131" i="65"/>
  <c r="B130" i="65"/>
  <c r="B129" i="65"/>
  <c r="B128" i="65"/>
  <c r="B127" i="65"/>
  <c r="K126" i="65"/>
  <c r="J126" i="65"/>
  <c r="I126" i="65"/>
  <c r="H126" i="65"/>
  <c r="G126" i="65"/>
  <c r="F126" i="65"/>
  <c r="E126" i="65"/>
  <c r="D126" i="65"/>
  <c r="B123" i="65"/>
  <c r="B122" i="65"/>
  <c r="B121" i="65"/>
  <c r="B120" i="65"/>
  <c r="B119" i="65"/>
  <c r="B118" i="65"/>
  <c r="B117" i="65"/>
  <c r="B116" i="65"/>
  <c r="B115" i="65"/>
  <c r="B114" i="65"/>
  <c r="K111" i="65"/>
  <c r="J111" i="65"/>
  <c r="I111" i="65"/>
  <c r="H111" i="65"/>
  <c r="G111" i="65"/>
  <c r="F111" i="65"/>
  <c r="E111" i="65"/>
  <c r="D111" i="65"/>
  <c r="B110" i="65"/>
  <c r="B109" i="65"/>
  <c r="B108" i="65"/>
  <c r="B107" i="65"/>
  <c r="B106" i="65"/>
  <c r="B105" i="65"/>
  <c r="K104" i="65"/>
  <c r="J104" i="65"/>
  <c r="I104" i="65"/>
  <c r="H104" i="65"/>
  <c r="G104" i="65"/>
  <c r="F104" i="65"/>
  <c r="E104" i="65"/>
  <c r="D104" i="65"/>
  <c r="B103" i="65"/>
  <c r="B102" i="65"/>
  <c r="B101" i="65"/>
  <c r="B100" i="65"/>
  <c r="B99" i="65"/>
  <c r="B98" i="65"/>
  <c r="B94" i="65"/>
  <c r="K92" i="65"/>
  <c r="J92" i="65"/>
  <c r="I92" i="65"/>
  <c r="H92" i="65"/>
  <c r="G92" i="65"/>
  <c r="F92" i="65"/>
  <c r="E92" i="65"/>
  <c r="D92" i="65"/>
  <c r="B91" i="65"/>
  <c r="B90" i="65"/>
  <c r="B89" i="65"/>
  <c r="B88" i="65"/>
  <c r="B87" i="65"/>
  <c r="K85" i="65"/>
  <c r="J85" i="65"/>
  <c r="I85" i="65"/>
  <c r="H85" i="65"/>
  <c r="G85" i="65"/>
  <c r="F85" i="65"/>
  <c r="E85" i="65"/>
  <c r="D85" i="65"/>
  <c r="B84" i="65"/>
  <c r="B83" i="65"/>
  <c r="B82" i="65"/>
  <c r="B81" i="65"/>
  <c r="B80" i="65"/>
  <c r="K78" i="65"/>
  <c r="K79" i="65" s="1"/>
  <c r="J78" i="65"/>
  <c r="I78" i="65"/>
  <c r="H78" i="65"/>
  <c r="G78" i="65"/>
  <c r="G79" i="65" s="1"/>
  <c r="F78" i="65"/>
  <c r="F79" i="65" s="1"/>
  <c r="F86" i="65" s="1"/>
  <c r="F93" i="65" s="1"/>
  <c r="F95" i="65" s="1"/>
  <c r="E78" i="65"/>
  <c r="E79" i="65" s="1"/>
  <c r="E86" i="65" s="1"/>
  <c r="E93" i="65" s="1"/>
  <c r="E95" i="65" s="1"/>
  <c r="D78" i="65"/>
  <c r="B77" i="65"/>
  <c r="B76" i="65"/>
  <c r="B75" i="65"/>
  <c r="K74" i="65"/>
  <c r="J74" i="65"/>
  <c r="I74" i="65"/>
  <c r="H74" i="65"/>
  <c r="G74" i="65"/>
  <c r="F74" i="65"/>
  <c r="E74" i="65"/>
  <c r="D74" i="65"/>
  <c r="B73" i="65"/>
  <c r="B72" i="65"/>
  <c r="B71" i="65"/>
  <c r="B70" i="65"/>
  <c r="B69" i="65"/>
  <c r="K67" i="65"/>
  <c r="J67" i="65"/>
  <c r="I67" i="65"/>
  <c r="H67" i="65"/>
  <c r="G67" i="65"/>
  <c r="F67" i="65"/>
  <c r="E67" i="65"/>
  <c r="D67" i="65"/>
  <c r="B66" i="65"/>
  <c r="B65" i="65"/>
  <c r="B64" i="65"/>
  <c r="B63" i="65"/>
  <c r="B62" i="65"/>
  <c r="B61" i="65"/>
  <c r="B60" i="65"/>
  <c r="B59" i="65"/>
  <c r="B58" i="65"/>
  <c r="B57" i="65"/>
  <c r="B56" i="65"/>
  <c r="B55" i="65"/>
  <c r="B54" i="65"/>
  <c r="B53" i="65"/>
  <c r="B52" i="65"/>
  <c r="K50" i="65"/>
  <c r="J50" i="65"/>
  <c r="I50" i="65"/>
  <c r="H50" i="65"/>
  <c r="G50" i="65"/>
  <c r="F50" i="65"/>
  <c r="E50" i="65"/>
  <c r="D50" i="65"/>
  <c r="B49" i="65"/>
  <c r="B48" i="65"/>
  <c r="B47" i="65"/>
  <c r="B46" i="65"/>
  <c r="B45" i="65"/>
  <c r="B44" i="65"/>
  <c r="B43" i="65"/>
  <c r="B42" i="65"/>
  <c r="B41" i="65"/>
  <c r="B40" i="65"/>
  <c r="B39" i="65"/>
  <c r="B38" i="65"/>
  <c r="B37" i="65"/>
  <c r="B36" i="65"/>
  <c r="B35" i="65"/>
  <c r="F33" i="65"/>
  <c r="E33" i="65"/>
  <c r="D33" i="65"/>
  <c r="B31" i="65"/>
  <c r="B30" i="65"/>
  <c r="K29" i="65"/>
  <c r="J29" i="65"/>
  <c r="I29" i="65"/>
  <c r="H29" i="65"/>
  <c r="G29" i="65"/>
  <c r="F29" i="65"/>
  <c r="E29" i="65"/>
  <c r="D29" i="65"/>
  <c r="B28" i="65"/>
  <c r="B27" i="65"/>
  <c r="B26" i="65"/>
  <c r="B24" i="65"/>
  <c r="K23" i="65"/>
  <c r="J23" i="65"/>
  <c r="I23" i="65"/>
  <c r="H23" i="65"/>
  <c r="G23" i="65"/>
  <c r="F23" i="65"/>
  <c r="E23" i="65"/>
  <c r="D23" i="65"/>
  <c r="B22" i="65"/>
  <c r="B21" i="65"/>
  <c r="B20" i="65"/>
  <c r="B19" i="65"/>
  <c r="B18" i="65"/>
  <c r="B17" i="65"/>
  <c r="B16" i="65"/>
  <c r="B15" i="65"/>
  <c r="K14" i="65"/>
  <c r="K25" i="65" s="1"/>
  <c r="J14" i="65"/>
  <c r="J25" i="65" s="1"/>
  <c r="J32" i="65" s="1"/>
  <c r="I14" i="65"/>
  <c r="I25" i="65" s="1"/>
  <c r="H14" i="65"/>
  <c r="H25" i="65" s="1"/>
  <c r="G14" i="65"/>
  <c r="G25" i="65" s="1"/>
  <c r="F14" i="65"/>
  <c r="F25" i="65" s="1"/>
  <c r="F32" i="65" s="1"/>
  <c r="E14" i="65"/>
  <c r="E25" i="65" s="1"/>
  <c r="D14" i="65"/>
  <c r="D25" i="65" s="1"/>
  <c r="D32" i="65" s="1"/>
  <c r="B13" i="65"/>
  <c r="B12" i="65"/>
  <c r="B10" i="65"/>
  <c r="E136" i="65" l="1"/>
  <c r="H32" i="65"/>
  <c r="E32" i="65"/>
  <c r="I32" i="65"/>
  <c r="D79" i="65"/>
  <c r="D86" i="65" s="1"/>
  <c r="D93" i="65" s="1"/>
  <c r="D95" i="65" s="1"/>
  <c r="D136" i="65"/>
  <c r="D379" i="65"/>
  <c r="I136" i="65"/>
  <c r="H136" i="65"/>
  <c r="J136" i="65"/>
  <c r="J79" i="65"/>
  <c r="J86" i="65" s="1"/>
  <c r="J93" i="65" s="1"/>
  <c r="J95" i="65" s="1"/>
  <c r="G379" i="65"/>
  <c r="K379" i="65"/>
  <c r="H379" i="65"/>
  <c r="G136" i="65"/>
  <c r="K136" i="65"/>
  <c r="J379" i="65"/>
  <c r="H79" i="65"/>
  <c r="H86" i="65" s="1"/>
  <c r="H93" i="65" s="1"/>
  <c r="H95" i="65" s="1"/>
  <c r="I79" i="65"/>
  <c r="I86" i="65" s="1"/>
  <c r="I93" i="65" s="1"/>
  <c r="I95" i="65" s="1"/>
  <c r="G32" i="65"/>
  <c r="K32" i="65"/>
  <c r="H97" i="65"/>
  <c r="H112" i="65" s="1"/>
  <c r="F97" i="65"/>
  <c r="F112" i="65" s="1"/>
  <c r="G86" i="65"/>
  <c r="G93" i="65" s="1"/>
  <c r="G95" i="65" s="1"/>
  <c r="G97" i="65"/>
  <c r="G112" i="65" s="1"/>
  <c r="K97" i="65"/>
  <c r="K112" i="65" s="1"/>
  <c r="K86" i="65"/>
  <c r="K93" i="65" s="1"/>
  <c r="K95" i="65" s="1"/>
  <c r="E97" i="65"/>
  <c r="E112" i="65" s="1"/>
  <c r="E327" i="65"/>
  <c r="D334" i="65"/>
  <c r="E347" i="65"/>
  <c r="L465" i="64"/>
  <c r="M465" i="64" s="1"/>
  <c r="N465" i="64" s="1"/>
  <c r="O465" i="64" s="1"/>
  <c r="P465" i="64" s="1"/>
  <c r="Q465" i="64" s="1"/>
  <c r="R465" i="64" s="1"/>
  <c r="S465" i="64" s="1"/>
  <c r="T465" i="64" s="1"/>
  <c r="U465" i="64" s="1"/>
  <c r="L460" i="64"/>
  <c r="M460" i="64" s="1"/>
  <c r="N460" i="64" s="1"/>
  <c r="O460" i="64" s="1"/>
  <c r="P460" i="64" s="1"/>
  <c r="Q460" i="64" s="1"/>
  <c r="R460" i="64" s="1"/>
  <c r="S460" i="64" s="1"/>
  <c r="T460" i="64" s="1"/>
  <c r="U460" i="64" s="1"/>
  <c r="U394" i="64"/>
  <c r="T394" i="64"/>
  <c r="S394" i="64"/>
  <c r="S254" i="64" s="1"/>
  <c r="R394" i="64"/>
  <c r="Q394" i="64"/>
  <c r="P394" i="64"/>
  <c r="O394" i="64"/>
  <c r="O254" i="64" s="1"/>
  <c r="N394" i="64"/>
  <c r="M394" i="64"/>
  <c r="L394" i="64"/>
  <c r="U393" i="64"/>
  <c r="T393" i="64"/>
  <c r="S393" i="64"/>
  <c r="R393" i="64"/>
  <c r="Q393" i="64"/>
  <c r="P393" i="64"/>
  <c r="O393" i="64"/>
  <c r="N393" i="64"/>
  <c r="M393" i="64"/>
  <c r="L393" i="64"/>
  <c r="U392" i="64"/>
  <c r="T392" i="64"/>
  <c r="S392" i="64"/>
  <c r="R392" i="64"/>
  <c r="Q392" i="64"/>
  <c r="P392" i="64"/>
  <c r="O392" i="64"/>
  <c r="N392" i="64"/>
  <c r="M392" i="64"/>
  <c r="L392" i="64"/>
  <c r="U391" i="64"/>
  <c r="U254" i="64" s="1"/>
  <c r="T391" i="64"/>
  <c r="S391" i="64"/>
  <c r="R391" i="64"/>
  <c r="R254" i="64" s="1"/>
  <c r="R509" i="64" s="1"/>
  <c r="Q391" i="64"/>
  <c r="Q254" i="64" s="1"/>
  <c r="Q509" i="64" s="1"/>
  <c r="P391" i="64"/>
  <c r="O391" i="64"/>
  <c r="N391" i="64"/>
  <c r="M391" i="64"/>
  <c r="M254" i="64" s="1"/>
  <c r="L391" i="64"/>
  <c r="U390" i="64"/>
  <c r="T390" i="64"/>
  <c r="S390" i="64"/>
  <c r="R390" i="64"/>
  <c r="Q390" i="64"/>
  <c r="P390" i="64"/>
  <c r="O390" i="64"/>
  <c r="N390" i="64"/>
  <c r="M390" i="64"/>
  <c r="L390" i="64"/>
  <c r="U389" i="64"/>
  <c r="T389" i="64"/>
  <c r="S389" i="64"/>
  <c r="R389" i="64"/>
  <c r="Q389" i="64"/>
  <c r="P389" i="64"/>
  <c r="O389" i="64"/>
  <c r="N389" i="64"/>
  <c r="M389" i="64"/>
  <c r="L389" i="64"/>
  <c r="U371" i="64"/>
  <c r="U486" i="64" s="1"/>
  <c r="T371" i="64"/>
  <c r="T486" i="64" s="1"/>
  <c r="S371" i="64"/>
  <c r="S486" i="64" s="1"/>
  <c r="R371" i="64"/>
  <c r="Q371" i="64"/>
  <c r="Q486" i="64" s="1"/>
  <c r="P371" i="64"/>
  <c r="P486" i="64" s="1"/>
  <c r="O371" i="64"/>
  <c r="O486" i="64" s="1"/>
  <c r="N371" i="64"/>
  <c r="M371" i="64"/>
  <c r="M486" i="64" s="1"/>
  <c r="L371" i="64"/>
  <c r="U367" i="64"/>
  <c r="T367" i="64"/>
  <c r="S367" i="64"/>
  <c r="R367" i="64"/>
  <c r="Q367" i="64"/>
  <c r="P367" i="64"/>
  <c r="O367" i="64"/>
  <c r="N367" i="64"/>
  <c r="M367" i="64"/>
  <c r="L367" i="64"/>
  <c r="L360" i="64"/>
  <c r="M360" i="64" s="1"/>
  <c r="N360" i="64" s="1"/>
  <c r="O360" i="64" s="1"/>
  <c r="P360" i="64" s="1"/>
  <c r="Q360" i="64" s="1"/>
  <c r="R360" i="64" s="1"/>
  <c r="S360" i="64" s="1"/>
  <c r="T360" i="64" s="1"/>
  <c r="U360" i="64" s="1"/>
  <c r="L351" i="64"/>
  <c r="M351" i="64" s="1"/>
  <c r="N351" i="64" s="1"/>
  <c r="O351" i="64" s="1"/>
  <c r="P351" i="64" s="1"/>
  <c r="Q351" i="64" s="1"/>
  <c r="R351" i="64" s="1"/>
  <c r="S351" i="64" s="1"/>
  <c r="T351" i="64" s="1"/>
  <c r="U351" i="64" s="1"/>
  <c r="L325" i="64"/>
  <c r="M325" i="64" s="1"/>
  <c r="N325" i="64" s="1"/>
  <c r="O325" i="64" s="1"/>
  <c r="P325" i="64" s="1"/>
  <c r="Q325" i="64" s="1"/>
  <c r="R325" i="64" s="1"/>
  <c r="S325" i="64" s="1"/>
  <c r="T325" i="64" s="1"/>
  <c r="U325" i="64" s="1"/>
  <c r="K264" i="64"/>
  <c r="J264" i="64"/>
  <c r="I264" i="64"/>
  <c r="H264" i="64"/>
  <c r="G264" i="64"/>
  <c r="F264" i="64"/>
  <c r="E264" i="64"/>
  <c r="D264" i="64"/>
  <c r="L244" i="64"/>
  <c r="M244" i="64" s="1"/>
  <c r="N244" i="64" s="1"/>
  <c r="O244" i="64" s="1"/>
  <c r="P244" i="64" s="1"/>
  <c r="Q244" i="64" s="1"/>
  <c r="R244" i="64" s="1"/>
  <c r="S244" i="64" s="1"/>
  <c r="T244" i="64" s="1"/>
  <c r="U244" i="64" s="1"/>
  <c r="L243" i="64"/>
  <c r="M243" i="64" s="1"/>
  <c r="N243" i="64" s="1"/>
  <c r="O243" i="64" s="1"/>
  <c r="P243" i="64" s="1"/>
  <c r="Q243" i="64" s="1"/>
  <c r="R243" i="64" s="1"/>
  <c r="S243" i="64" s="1"/>
  <c r="T243" i="64" s="1"/>
  <c r="U243" i="64" s="1"/>
  <c r="L232" i="64"/>
  <c r="M232" i="64" s="1"/>
  <c r="N232" i="64" s="1"/>
  <c r="O232" i="64" s="1"/>
  <c r="P232" i="64" s="1"/>
  <c r="Q232" i="64" s="1"/>
  <c r="R232" i="64" s="1"/>
  <c r="S232" i="64" s="1"/>
  <c r="T232" i="64" s="1"/>
  <c r="U232" i="64" s="1"/>
  <c r="L186" i="64"/>
  <c r="M186" i="64" s="1"/>
  <c r="N186" i="64" s="1"/>
  <c r="O186" i="64" s="1"/>
  <c r="P186" i="64" s="1"/>
  <c r="Q186" i="64" s="1"/>
  <c r="R186" i="64" s="1"/>
  <c r="S186" i="64" s="1"/>
  <c r="T186" i="64" s="1"/>
  <c r="U186" i="64" s="1"/>
  <c r="L160" i="64"/>
  <c r="M160" i="64" s="1"/>
  <c r="N160" i="64" s="1"/>
  <c r="O160" i="64" s="1"/>
  <c r="P160" i="64" s="1"/>
  <c r="Q160" i="64" s="1"/>
  <c r="R160" i="64" s="1"/>
  <c r="S160" i="64" s="1"/>
  <c r="T160" i="64" s="1"/>
  <c r="U160" i="64" s="1"/>
  <c r="L151" i="64"/>
  <c r="M151" i="64" s="1"/>
  <c r="N151" i="64" s="1"/>
  <c r="O151" i="64" s="1"/>
  <c r="P151" i="64" s="1"/>
  <c r="Q151" i="64" s="1"/>
  <c r="R151" i="64" s="1"/>
  <c r="S151" i="64" s="1"/>
  <c r="T151" i="64" s="1"/>
  <c r="U151" i="64" s="1"/>
  <c r="L138" i="64"/>
  <c r="M138" i="64" s="1"/>
  <c r="N138" i="64" s="1"/>
  <c r="O138" i="64" s="1"/>
  <c r="P138" i="64" s="1"/>
  <c r="Q138" i="64" s="1"/>
  <c r="R138" i="64" s="1"/>
  <c r="S138" i="64" s="1"/>
  <c r="T138" i="64" s="1"/>
  <c r="U138" i="64" s="1"/>
  <c r="K193" i="64"/>
  <c r="J193" i="64"/>
  <c r="I193" i="64"/>
  <c r="H193" i="64"/>
  <c r="G193" i="64"/>
  <c r="F193" i="64"/>
  <c r="E193" i="64"/>
  <c r="D193" i="64"/>
  <c r="K192" i="64"/>
  <c r="J192" i="64"/>
  <c r="I192" i="64"/>
  <c r="H192" i="64"/>
  <c r="G192" i="64"/>
  <c r="F192" i="64"/>
  <c r="E192" i="64"/>
  <c r="D192" i="64"/>
  <c r="K191" i="64"/>
  <c r="J191" i="64"/>
  <c r="I191" i="64"/>
  <c r="H191" i="64"/>
  <c r="G191" i="64"/>
  <c r="F191" i="64"/>
  <c r="E191" i="64"/>
  <c r="D191" i="64"/>
  <c r="K190" i="64"/>
  <c r="J190" i="64"/>
  <c r="I190" i="64"/>
  <c r="H190" i="64"/>
  <c r="G190" i="64"/>
  <c r="F190" i="64"/>
  <c r="E190" i="64"/>
  <c r="D190" i="64"/>
  <c r="K31" i="64"/>
  <c r="J31" i="64"/>
  <c r="I31" i="64"/>
  <c r="H31" i="64"/>
  <c r="G31" i="64"/>
  <c r="F31" i="64"/>
  <c r="E31" i="64"/>
  <c r="D31" i="64"/>
  <c r="K29" i="64"/>
  <c r="J29" i="64"/>
  <c r="I29" i="64"/>
  <c r="H29" i="64"/>
  <c r="I30" i="64" s="1"/>
  <c r="G29" i="64"/>
  <c r="G30" i="64" s="1"/>
  <c r="F29" i="64"/>
  <c r="E29" i="64"/>
  <c r="D29" i="64"/>
  <c r="K27" i="64"/>
  <c r="J27" i="64"/>
  <c r="I27" i="64"/>
  <c r="H27" i="64"/>
  <c r="G27" i="64"/>
  <c r="F27" i="64"/>
  <c r="E27" i="64"/>
  <c r="D27" i="64"/>
  <c r="K26" i="64"/>
  <c r="J26" i="64"/>
  <c r="I26" i="64"/>
  <c r="H26" i="64"/>
  <c r="G26" i="64"/>
  <c r="F26" i="64"/>
  <c r="E26" i="64"/>
  <c r="D26" i="64"/>
  <c r="K25" i="64"/>
  <c r="J25" i="64"/>
  <c r="I25" i="64"/>
  <c r="H25" i="64"/>
  <c r="G25" i="64"/>
  <c r="F25" i="64"/>
  <c r="E25" i="64"/>
  <c r="D25" i="64"/>
  <c r="K24" i="64"/>
  <c r="J24" i="64"/>
  <c r="I24" i="64"/>
  <c r="H24" i="64"/>
  <c r="G24" i="64"/>
  <c r="F24" i="64"/>
  <c r="E24" i="64"/>
  <c r="D24" i="64"/>
  <c r="K22" i="64"/>
  <c r="K23" i="64" s="1"/>
  <c r="J22" i="64"/>
  <c r="I22" i="64"/>
  <c r="H22" i="64"/>
  <c r="H23" i="64" s="1"/>
  <c r="G22" i="64"/>
  <c r="G23" i="64" s="1"/>
  <c r="F22" i="64"/>
  <c r="E22" i="64"/>
  <c r="D22" i="64"/>
  <c r="K19" i="64"/>
  <c r="J19" i="64"/>
  <c r="I19" i="64"/>
  <c r="H19" i="64"/>
  <c r="I20" i="64" s="1"/>
  <c r="G19" i="64"/>
  <c r="G20" i="64" s="1"/>
  <c r="F19" i="64"/>
  <c r="E19" i="64"/>
  <c r="D19" i="64"/>
  <c r="K17" i="64"/>
  <c r="K21" i="64" s="1"/>
  <c r="J17" i="64"/>
  <c r="I17" i="64"/>
  <c r="H17" i="64"/>
  <c r="G17" i="64"/>
  <c r="G18" i="64" s="1"/>
  <c r="F17" i="64"/>
  <c r="E17" i="64"/>
  <c r="D17" i="64"/>
  <c r="K13" i="64"/>
  <c r="J13" i="64"/>
  <c r="I13" i="64"/>
  <c r="H13" i="64"/>
  <c r="I14" i="64" s="1"/>
  <c r="G13" i="64"/>
  <c r="F13" i="64"/>
  <c r="E13" i="64"/>
  <c r="D13" i="64"/>
  <c r="K11" i="64"/>
  <c r="J11" i="64"/>
  <c r="I11" i="64"/>
  <c r="H11" i="64"/>
  <c r="G11" i="64"/>
  <c r="F11" i="64"/>
  <c r="E11" i="64"/>
  <c r="D11" i="64"/>
  <c r="E12" i="64" s="1"/>
  <c r="J534" i="64"/>
  <c r="J67" i="64" s="1"/>
  <c r="I534" i="64"/>
  <c r="I67" i="64" s="1"/>
  <c r="H534" i="64"/>
  <c r="H67" i="64" s="1"/>
  <c r="E534" i="64"/>
  <c r="E67" i="64" s="1"/>
  <c r="B533" i="64"/>
  <c r="G534" i="64"/>
  <c r="G67" i="64" s="1"/>
  <c r="F534" i="64"/>
  <c r="D534" i="64"/>
  <c r="D67" i="64" s="1"/>
  <c r="B532" i="64"/>
  <c r="K527" i="64"/>
  <c r="K528" i="64" s="1"/>
  <c r="J527" i="64"/>
  <c r="J68" i="64" s="1"/>
  <c r="J70" i="64" s="1"/>
  <c r="G527" i="64"/>
  <c r="D527" i="64"/>
  <c r="D528" i="64" s="1"/>
  <c r="D71" i="64" s="1"/>
  <c r="B526" i="64"/>
  <c r="H527" i="64"/>
  <c r="H68" i="64" s="1"/>
  <c r="H70" i="64" s="1"/>
  <c r="B525" i="64"/>
  <c r="B522" i="64"/>
  <c r="B499" i="64"/>
  <c r="B495" i="64"/>
  <c r="B493" i="64"/>
  <c r="B492" i="64"/>
  <c r="B490" i="64"/>
  <c r="B485" i="64"/>
  <c r="B484" i="64"/>
  <c r="B483" i="64"/>
  <c r="K480" i="64"/>
  <c r="J480" i="64"/>
  <c r="I480" i="64"/>
  <c r="H480" i="64"/>
  <c r="G480" i="64"/>
  <c r="F480" i="64"/>
  <c r="E480" i="64"/>
  <c r="D480" i="64"/>
  <c r="B479" i="64"/>
  <c r="B478" i="64"/>
  <c r="B477" i="64"/>
  <c r="B476" i="64"/>
  <c r="B475" i="64"/>
  <c r="B474" i="64"/>
  <c r="B471" i="64"/>
  <c r="B470" i="64"/>
  <c r="J467" i="64"/>
  <c r="F467" i="64"/>
  <c r="H467" i="64"/>
  <c r="D467" i="64"/>
  <c r="B466" i="64"/>
  <c r="B465" i="64"/>
  <c r="B461" i="64"/>
  <c r="B460" i="64"/>
  <c r="B459" i="64"/>
  <c r="B456" i="64"/>
  <c r="B455" i="64"/>
  <c r="B452" i="64"/>
  <c r="B450" i="64"/>
  <c r="B449" i="64"/>
  <c r="B445" i="64"/>
  <c r="B442" i="64"/>
  <c r="J487" i="64"/>
  <c r="F487" i="64"/>
  <c r="D487" i="64"/>
  <c r="B441" i="64"/>
  <c r="B440" i="64"/>
  <c r="B437" i="64"/>
  <c r="B436" i="64"/>
  <c r="B435" i="64"/>
  <c r="B434" i="64"/>
  <c r="B432" i="64"/>
  <c r="G429" i="64"/>
  <c r="B428" i="64"/>
  <c r="B427" i="64"/>
  <c r="J429" i="64"/>
  <c r="H429" i="64"/>
  <c r="F429" i="64"/>
  <c r="D429" i="64"/>
  <c r="B426" i="64"/>
  <c r="B423" i="64"/>
  <c r="B421" i="64"/>
  <c r="B417" i="64"/>
  <c r="B416" i="64"/>
  <c r="B415" i="64"/>
  <c r="B414" i="64"/>
  <c r="B410" i="64"/>
  <c r="B409" i="64"/>
  <c r="B407" i="64"/>
  <c r="B403" i="64"/>
  <c r="B402" i="64"/>
  <c r="B399" i="64"/>
  <c r="B398" i="64"/>
  <c r="K254" i="64"/>
  <c r="G254" i="64"/>
  <c r="B394" i="64"/>
  <c r="B393" i="64"/>
  <c r="B392" i="64"/>
  <c r="D254" i="64"/>
  <c r="B391" i="64"/>
  <c r="B390" i="64"/>
  <c r="B389" i="64"/>
  <c r="B385" i="64"/>
  <c r="B384" i="64"/>
  <c r="B380" i="64"/>
  <c r="B377" i="64"/>
  <c r="B376" i="64"/>
  <c r="B375" i="64"/>
  <c r="B372" i="64"/>
  <c r="R486" i="64"/>
  <c r="N486" i="64"/>
  <c r="L486" i="64"/>
  <c r="K486" i="64"/>
  <c r="J486" i="64"/>
  <c r="I486" i="64"/>
  <c r="H486" i="64"/>
  <c r="G486" i="64"/>
  <c r="F486" i="64"/>
  <c r="E486" i="64"/>
  <c r="D486" i="64"/>
  <c r="B371" i="64"/>
  <c r="D370" i="64"/>
  <c r="B369" i="64"/>
  <c r="B368" i="64"/>
  <c r="H370" i="64"/>
  <c r="B367" i="64"/>
  <c r="K370" i="64"/>
  <c r="I370" i="64"/>
  <c r="G370" i="64"/>
  <c r="E370" i="64"/>
  <c r="B366" i="64"/>
  <c r="B362" i="64"/>
  <c r="B361" i="64"/>
  <c r="B360" i="64"/>
  <c r="B358" i="64"/>
  <c r="B353" i="64"/>
  <c r="B352" i="64"/>
  <c r="B351" i="64"/>
  <c r="B349" i="64"/>
  <c r="B345" i="64"/>
  <c r="B343" i="64"/>
  <c r="B342" i="64"/>
  <c r="G341" i="64"/>
  <c r="G343" i="64" s="1"/>
  <c r="B338" i="64"/>
  <c r="B336" i="64"/>
  <c r="B332" i="64"/>
  <c r="B331" i="64"/>
  <c r="B327" i="64"/>
  <c r="B326" i="64"/>
  <c r="B325" i="64"/>
  <c r="B323" i="64"/>
  <c r="K322" i="64"/>
  <c r="K323" i="64" s="1"/>
  <c r="J322" i="64"/>
  <c r="J323" i="64" s="1"/>
  <c r="I322" i="64"/>
  <c r="I323" i="64" s="1"/>
  <c r="H322" i="64"/>
  <c r="H323" i="64" s="1"/>
  <c r="G322" i="64"/>
  <c r="G323" i="64" s="1"/>
  <c r="F322" i="64"/>
  <c r="F323" i="64" s="1"/>
  <c r="E322" i="64"/>
  <c r="E323" i="64" s="1"/>
  <c r="D322" i="64"/>
  <c r="D323" i="64" s="1"/>
  <c r="B319" i="64"/>
  <c r="B318" i="64"/>
  <c r="B317" i="64"/>
  <c r="B311" i="64"/>
  <c r="B310" i="64"/>
  <c r="B307" i="64"/>
  <c r="K306" i="64"/>
  <c r="E306" i="64"/>
  <c r="L305" i="64"/>
  <c r="M305" i="64" s="1"/>
  <c r="N305" i="64" s="1"/>
  <c r="O305" i="64" s="1"/>
  <c r="P305" i="64" s="1"/>
  <c r="Q305" i="64" s="1"/>
  <c r="R305" i="64" s="1"/>
  <c r="S305" i="64" s="1"/>
  <c r="T305" i="64" s="1"/>
  <c r="U305" i="64" s="1"/>
  <c r="I306" i="64"/>
  <c r="G306" i="64"/>
  <c r="B305" i="64"/>
  <c r="B304" i="64"/>
  <c r="B301" i="64"/>
  <c r="L300" i="64"/>
  <c r="M300" i="64" s="1"/>
  <c r="N300" i="64" s="1"/>
  <c r="O300" i="64" s="1"/>
  <c r="P300" i="64" s="1"/>
  <c r="Q300" i="64" s="1"/>
  <c r="R300" i="64" s="1"/>
  <c r="S300" i="64" s="1"/>
  <c r="T300" i="64" s="1"/>
  <c r="U300" i="64" s="1"/>
  <c r="B300" i="64"/>
  <c r="B297" i="64"/>
  <c r="L296" i="64"/>
  <c r="M296" i="64" s="1"/>
  <c r="N296" i="64" s="1"/>
  <c r="O296" i="64" s="1"/>
  <c r="P296" i="64" s="1"/>
  <c r="Q296" i="64" s="1"/>
  <c r="R296" i="64" s="1"/>
  <c r="S296" i="64" s="1"/>
  <c r="T296" i="64" s="1"/>
  <c r="U296" i="64" s="1"/>
  <c r="B296" i="64"/>
  <c r="B293" i="64"/>
  <c r="L292" i="64"/>
  <c r="M292" i="64" s="1"/>
  <c r="N292" i="64" s="1"/>
  <c r="O292" i="64" s="1"/>
  <c r="P292" i="64" s="1"/>
  <c r="Q292" i="64" s="1"/>
  <c r="R292" i="64" s="1"/>
  <c r="S292" i="64" s="1"/>
  <c r="T292" i="64" s="1"/>
  <c r="U292" i="64" s="1"/>
  <c r="B292" i="64"/>
  <c r="B289" i="64"/>
  <c r="B287" i="64"/>
  <c r="I286" i="64"/>
  <c r="H286" i="64"/>
  <c r="K285" i="64"/>
  <c r="J285" i="64"/>
  <c r="G285" i="64"/>
  <c r="F285" i="64"/>
  <c r="B281" i="64"/>
  <c r="B280" i="64"/>
  <c r="B279" i="64"/>
  <c r="B278" i="64"/>
  <c r="B275" i="64"/>
  <c r="L274" i="64"/>
  <c r="M274" i="64" s="1"/>
  <c r="N274" i="64" s="1"/>
  <c r="O274" i="64" s="1"/>
  <c r="P274" i="64" s="1"/>
  <c r="Q274" i="64" s="1"/>
  <c r="R274" i="64" s="1"/>
  <c r="S274" i="64" s="1"/>
  <c r="T274" i="64" s="1"/>
  <c r="U274" i="64" s="1"/>
  <c r="B274" i="64"/>
  <c r="B271" i="64"/>
  <c r="L270" i="64"/>
  <c r="M270" i="64" s="1"/>
  <c r="N270" i="64" s="1"/>
  <c r="O270" i="64" s="1"/>
  <c r="P270" i="64" s="1"/>
  <c r="Q270" i="64" s="1"/>
  <c r="R270" i="64" s="1"/>
  <c r="S270" i="64" s="1"/>
  <c r="T270" i="64" s="1"/>
  <c r="U270" i="64" s="1"/>
  <c r="B270" i="64"/>
  <c r="B267" i="64"/>
  <c r="B265" i="64"/>
  <c r="I263" i="64"/>
  <c r="H263" i="64"/>
  <c r="D263" i="64"/>
  <c r="K262" i="64"/>
  <c r="J262" i="64"/>
  <c r="I262" i="64"/>
  <c r="H262" i="64"/>
  <c r="G262" i="64"/>
  <c r="F262" i="64"/>
  <c r="E262" i="64"/>
  <c r="D262" i="64"/>
  <c r="B258" i="64"/>
  <c r="B257" i="64"/>
  <c r="B255" i="64"/>
  <c r="N254" i="64"/>
  <c r="N509" i="64" s="1"/>
  <c r="J254" i="64"/>
  <c r="I254" i="64"/>
  <c r="F254" i="64"/>
  <c r="E254" i="64"/>
  <c r="K253" i="64"/>
  <c r="H253" i="64"/>
  <c r="G253" i="64"/>
  <c r="G255" i="64" s="1"/>
  <c r="D253" i="64"/>
  <c r="B249" i="64"/>
  <c r="B248" i="64"/>
  <c r="L247" i="64"/>
  <c r="M247" i="64" s="1"/>
  <c r="N247" i="64" s="1"/>
  <c r="D250" i="64"/>
  <c r="B247" i="64"/>
  <c r="B244" i="64"/>
  <c r="B243" i="64"/>
  <c r="B240" i="64"/>
  <c r="J239" i="64"/>
  <c r="I239" i="64"/>
  <c r="E239" i="64"/>
  <c r="D239" i="64"/>
  <c r="B237" i="64"/>
  <c r="D236" i="64"/>
  <c r="B233" i="64"/>
  <c r="B232" i="64"/>
  <c r="H231" i="64"/>
  <c r="E231" i="64"/>
  <c r="B230" i="64"/>
  <c r="I231" i="64"/>
  <c r="B229" i="64"/>
  <c r="K231" i="64"/>
  <c r="I285" i="64"/>
  <c r="H285" i="64"/>
  <c r="G231" i="64"/>
  <c r="E285" i="64"/>
  <c r="D285" i="64"/>
  <c r="B228" i="64"/>
  <c r="H224" i="64"/>
  <c r="E224" i="64"/>
  <c r="B223" i="64"/>
  <c r="I224" i="64"/>
  <c r="B222" i="64"/>
  <c r="B221" i="64"/>
  <c r="D224" i="64"/>
  <c r="B220" i="64"/>
  <c r="G217" i="64"/>
  <c r="B216" i="64"/>
  <c r="B215" i="64"/>
  <c r="K217" i="64"/>
  <c r="J217" i="64"/>
  <c r="B214" i="64"/>
  <c r="I217" i="64"/>
  <c r="H217" i="64"/>
  <c r="F217" i="64"/>
  <c r="E217" i="64"/>
  <c r="D217" i="64"/>
  <c r="B213" i="64"/>
  <c r="H106" i="64"/>
  <c r="D106" i="64"/>
  <c r="B210" i="64"/>
  <c r="B209" i="64"/>
  <c r="J206" i="64"/>
  <c r="J105" i="64" s="1"/>
  <c r="F206" i="64"/>
  <c r="F105" i="64" s="1"/>
  <c r="B205" i="64"/>
  <c r="B204" i="64"/>
  <c r="K206" i="64"/>
  <c r="K105" i="64" s="1"/>
  <c r="H206" i="64"/>
  <c r="G206" i="64"/>
  <c r="D206" i="64"/>
  <c r="D105" i="64" s="1"/>
  <c r="B203" i="64"/>
  <c r="F200" i="64"/>
  <c r="B199" i="64"/>
  <c r="B198" i="64"/>
  <c r="J200" i="64"/>
  <c r="B197" i="64"/>
  <c r="I200" i="64"/>
  <c r="H200" i="64"/>
  <c r="E200" i="64"/>
  <c r="D200" i="64"/>
  <c r="B196" i="64"/>
  <c r="B193" i="64"/>
  <c r="B192" i="64"/>
  <c r="B191" i="64"/>
  <c r="B190" i="64"/>
  <c r="B187" i="64"/>
  <c r="B186" i="64"/>
  <c r="B184" i="64"/>
  <c r="B183" i="64"/>
  <c r="K263" i="64"/>
  <c r="J263" i="64"/>
  <c r="G263" i="64"/>
  <c r="F263" i="64"/>
  <c r="E263" i="64"/>
  <c r="B181" i="64"/>
  <c r="K286" i="64"/>
  <c r="J286" i="64"/>
  <c r="G286" i="64"/>
  <c r="F286" i="64"/>
  <c r="E286" i="64"/>
  <c r="D286" i="64"/>
  <c r="B180" i="64"/>
  <c r="J253" i="64"/>
  <c r="J255" i="64" s="1"/>
  <c r="I253" i="64"/>
  <c r="F253" i="64"/>
  <c r="E253" i="64"/>
  <c r="E255" i="64" s="1"/>
  <c r="B178" i="64"/>
  <c r="B176" i="64"/>
  <c r="B175" i="64"/>
  <c r="B174" i="64"/>
  <c r="B173" i="64"/>
  <c r="E177" i="64"/>
  <c r="E184" i="64" s="1"/>
  <c r="B172" i="64"/>
  <c r="D177" i="64"/>
  <c r="D184" i="64" s="1"/>
  <c r="B171" i="64"/>
  <c r="B168" i="64"/>
  <c r="B166" i="64"/>
  <c r="B161" i="64"/>
  <c r="B160" i="64"/>
  <c r="B158" i="64"/>
  <c r="B153" i="64"/>
  <c r="B152" i="64"/>
  <c r="B151" i="64"/>
  <c r="B149" i="64"/>
  <c r="U147" i="64"/>
  <c r="T147" i="64"/>
  <c r="S147" i="64"/>
  <c r="R147" i="64"/>
  <c r="Q147" i="64"/>
  <c r="P147" i="64"/>
  <c r="O147" i="64"/>
  <c r="N147" i="64"/>
  <c r="M147" i="64"/>
  <c r="L147" i="64"/>
  <c r="K147" i="64"/>
  <c r="J147" i="64"/>
  <c r="I147" i="64"/>
  <c r="H147" i="64"/>
  <c r="G147" i="64"/>
  <c r="F147" i="64"/>
  <c r="E147" i="64"/>
  <c r="D147" i="64"/>
  <c r="B144" i="64"/>
  <c r="B143" i="64"/>
  <c r="B139" i="64"/>
  <c r="B138" i="64"/>
  <c r="I137" i="64"/>
  <c r="I139" i="64" s="1"/>
  <c r="E137" i="64"/>
  <c r="E139" i="64" s="1"/>
  <c r="B136" i="64"/>
  <c r="H137" i="64"/>
  <c r="H139" i="64" s="1"/>
  <c r="D137" i="64"/>
  <c r="D139" i="64" s="1"/>
  <c r="B135" i="64"/>
  <c r="B131" i="64"/>
  <c r="J130" i="64"/>
  <c r="B129" i="64"/>
  <c r="B128" i="64"/>
  <c r="K130" i="64"/>
  <c r="K131" i="64" s="1"/>
  <c r="G130" i="64"/>
  <c r="G131" i="64" s="1"/>
  <c r="B127" i="64"/>
  <c r="F130" i="64"/>
  <c r="F131" i="64" s="1"/>
  <c r="B126" i="64"/>
  <c r="H130" i="64"/>
  <c r="D130" i="64"/>
  <c r="B125" i="64"/>
  <c r="B118" i="64"/>
  <c r="H119" i="64"/>
  <c r="D119" i="64"/>
  <c r="B117" i="64"/>
  <c r="B116" i="64"/>
  <c r="G119" i="64"/>
  <c r="B115" i="64"/>
  <c r="B114" i="64"/>
  <c r="K119" i="64"/>
  <c r="B113" i="64"/>
  <c r="B111" i="64"/>
  <c r="B110" i="64"/>
  <c r="B109" i="64"/>
  <c r="B108" i="64"/>
  <c r="B107" i="64"/>
  <c r="K106" i="64"/>
  <c r="J106" i="64"/>
  <c r="I106" i="64"/>
  <c r="G106" i="64"/>
  <c r="F106" i="64"/>
  <c r="E106" i="64"/>
  <c r="H105" i="64"/>
  <c r="G105" i="64"/>
  <c r="K101" i="64"/>
  <c r="H101" i="64"/>
  <c r="G101" i="64"/>
  <c r="D101" i="64"/>
  <c r="B100" i="64"/>
  <c r="B99" i="64"/>
  <c r="K494" i="64"/>
  <c r="K496" i="64" s="1"/>
  <c r="J494" i="64"/>
  <c r="I494" i="64"/>
  <c r="H494" i="64"/>
  <c r="G494" i="64"/>
  <c r="F494" i="64"/>
  <c r="E494" i="64"/>
  <c r="D494" i="64"/>
  <c r="B98" i="64"/>
  <c r="K96" i="64"/>
  <c r="J96" i="64"/>
  <c r="I96" i="64"/>
  <c r="H96" i="64"/>
  <c r="G96" i="64"/>
  <c r="F96" i="64"/>
  <c r="F97" i="64" s="1"/>
  <c r="E96" i="64"/>
  <c r="E97" i="64" s="1"/>
  <c r="D96" i="64"/>
  <c r="D97" i="64" s="1"/>
  <c r="B95" i="64"/>
  <c r="B94" i="64"/>
  <c r="B93" i="64"/>
  <c r="B92" i="64"/>
  <c r="K97" i="64"/>
  <c r="J97" i="64"/>
  <c r="I97" i="64"/>
  <c r="H97" i="64"/>
  <c r="G97" i="64"/>
  <c r="B91" i="64"/>
  <c r="D88" i="64"/>
  <c r="K87" i="64"/>
  <c r="J87" i="64"/>
  <c r="I87" i="64"/>
  <c r="H87" i="64"/>
  <c r="G87" i="64"/>
  <c r="F87" i="64"/>
  <c r="E87" i="64"/>
  <c r="D87" i="64"/>
  <c r="D89" i="64" s="1"/>
  <c r="B86" i="64"/>
  <c r="B85" i="64"/>
  <c r="I84" i="64"/>
  <c r="B83" i="64"/>
  <c r="B82" i="64"/>
  <c r="J84" i="64"/>
  <c r="F84" i="64"/>
  <c r="E84" i="64"/>
  <c r="B81" i="64"/>
  <c r="B80" i="64"/>
  <c r="H84" i="64"/>
  <c r="D84" i="64"/>
  <c r="B79" i="64"/>
  <c r="B76" i="64"/>
  <c r="B74" i="64"/>
  <c r="B73" i="64"/>
  <c r="B71" i="64"/>
  <c r="B69" i="64"/>
  <c r="F67" i="64"/>
  <c r="B64" i="64"/>
  <c r="B63" i="64"/>
  <c r="B60" i="64"/>
  <c r="B55" i="64"/>
  <c r="K41" i="64"/>
  <c r="J41" i="64"/>
  <c r="I41" i="64"/>
  <c r="H41" i="64"/>
  <c r="G41" i="64"/>
  <c r="F41" i="64"/>
  <c r="E41" i="64"/>
  <c r="D41" i="64"/>
  <c r="B40" i="64"/>
  <c r="B31" i="64"/>
  <c r="J30" i="64"/>
  <c r="F30" i="64"/>
  <c r="E30" i="64"/>
  <c r="A30" i="64"/>
  <c r="B29" i="64"/>
  <c r="B27" i="64"/>
  <c r="B26" i="64"/>
  <c r="B25" i="64"/>
  <c r="B24" i="64"/>
  <c r="J23" i="64"/>
  <c r="F23" i="64"/>
  <c r="A23" i="64"/>
  <c r="L22" i="64"/>
  <c r="B22" i="64"/>
  <c r="J20" i="64"/>
  <c r="F20" i="64"/>
  <c r="E20" i="64"/>
  <c r="A20" i="64"/>
  <c r="B19" i="64"/>
  <c r="K18" i="64"/>
  <c r="J18" i="64"/>
  <c r="F18" i="64"/>
  <c r="A18" i="64"/>
  <c r="J21" i="64"/>
  <c r="F21" i="64"/>
  <c r="D21" i="64"/>
  <c r="B17" i="64"/>
  <c r="J14" i="64"/>
  <c r="F14" i="64"/>
  <c r="E14" i="64"/>
  <c r="A14" i="64"/>
  <c r="J15" i="64"/>
  <c r="I15" i="64"/>
  <c r="H238" i="64"/>
  <c r="F15" i="64"/>
  <c r="E15" i="64"/>
  <c r="D238" i="64"/>
  <c r="B13" i="64"/>
  <c r="J12" i="64"/>
  <c r="F12" i="64"/>
  <c r="I12" i="64"/>
  <c r="G12" i="64"/>
  <c r="C1" i="64"/>
  <c r="D97" i="65" l="1"/>
  <c r="D112" i="65" s="1"/>
  <c r="D90" i="64"/>
  <c r="M509" i="64"/>
  <c r="M107" i="64"/>
  <c r="U509" i="64"/>
  <c r="U107" i="64"/>
  <c r="S509" i="64"/>
  <c r="S107" i="64"/>
  <c r="O509" i="64"/>
  <c r="O107" i="64"/>
  <c r="G21" i="64"/>
  <c r="L369" i="64"/>
  <c r="L322" i="64" s="1"/>
  <c r="L435" i="64"/>
  <c r="M435" i="64" s="1"/>
  <c r="L436" i="64"/>
  <c r="M436" i="64" s="1"/>
  <c r="N436" i="64" s="1"/>
  <c r="L434" i="64"/>
  <c r="L437" i="64"/>
  <c r="M437" i="64" s="1"/>
  <c r="N437" i="64" s="1"/>
  <c r="O437" i="64" s="1"/>
  <c r="D112" i="64"/>
  <c r="F287" i="64"/>
  <c r="F288" i="64" s="1"/>
  <c r="D324" i="64"/>
  <c r="D327" i="64" s="1"/>
  <c r="D68" i="64"/>
  <c r="D70" i="64" s="1"/>
  <c r="D72" i="64" s="1"/>
  <c r="D75" i="64" s="1"/>
  <c r="D76" i="64" s="1"/>
  <c r="N107" i="64"/>
  <c r="D255" i="64"/>
  <c r="D315" i="64" s="1"/>
  <c r="D265" i="64"/>
  <c r="D266" i="64" s="1"/>
  <c r="H265" i="64"/>
  <c r="K265" i="64"/>
  <c r="J97" i="65"/>
  <c r="J112" i="65" s="1"/>
  <c r="I97" i="65"/>
  <c r="I112" i="65" s="1"/>
  <c r="G265" i="64"/>
  <c r="G266" i="64" s="1"/>
  <c r="I265" i="64"/>
  <c r="I266" i="64" s="1"/>
  <c r="K68" i="64"/>
  <c r="K70" i="64" s="1"/>
  <c r="K112" i="64"/>
  <c r="L108" i="64"/>
  <c r="M2" i="64"/>
  <c r="U2" i="64"/>
  <c r="O108" i="64"/>
  <c r="M180" i="64"/>
  <c r="M286" i="64" s="1"/>
  <c r="Q180" i="64"/>
  <c r="Q286" i="64" s="1"/>
  <c r="U180" i="64"/>
  <c r="R2" i="64"/>
  <c r="T108" i="64"/>
  <c r="L180" i="64"/>
  <c r="L286" i="64" s="1"/>
  <c r="P180" i="64"/>
  <c r="P286" i="64" s="1"/>
  <c r="N2" i="64"/>
  <c r="L24" i="64"/>
  <c r="M24" i="64" s="1"/>
  <c r="N24" i="64" s="1"/>
  <c r="O24" i="64" s="1"/>
  <c r="P24" i="64" s="1"/>
  <c r="Q24" i="64" s="1"/>
  <c r="R24" i="64" s="1"/>
  <c r="S24" i="64" s="1"/>
  <c r="T24" i="64" s="1"/>
  <c r="U24" i="64" s="1"/>
  <c r="P108" i="64"/>
  <c r="D148" i="64"/>
  <c r="D149" i="64" s="1"/>
  <c r="N180" i="64"/>
  <c r="N286" i="64" s="1"/>
  <c r="R180" i="64"/>
  <c r="R286" i="64" s="1"/>
  <c r="L368" i="64"/>
  <c r="L25" i="64"/>
  <c r="M25" i="64" s="1"/>
  <c r="N25" i="64" s="1"/>
  <c r="O25" i="64" s="1"/>
  <c r="P25" i="64" s="1"/>
  <c r="Q25" i="64" s="1"/>
  <c r="R25" i="64" s="1"/>
  <c r="S25" i="64" s="1"/>
  <c r="T25" i="64" s="1"/>
  <c r="U25" i="64" s="1"/>
  <c r="T180" i="64"/>
  <c r="T286" i="64" s="1"/>
  <c r="Q2" i="64"/>
  <c r="L17" i="64"/>
  <c r="L18" i="64" s="1"/>
  <c r="M17" i="64" s="1"/>
  <c r="S108" i="64"/>
  <c r="E157" i="64"/>
  <c r="E158" i="64" s="1"/>
  <c r="O180" i="64"/>
  <c r="O286" i="64" s="1"/>
  <c r="S180" i="64"/>
  <c r="S286" i="64" s="1"/>
  <c r="L366" i="64"/>
  <c r="L157" i="64" s="1"/>
  <c r="G528" i="64"/>
  <c r="G535" i="64" s="1"/>
  <c r="G68" i="64"/>
  <c r="G70" i="64" s="1"/>
  <c r="H131" i="64"/>
  <c r="H132" i="64" s="1"/>
  <c r="J131" i="64"/>
  <c r="J132" i="64" s="1"/>
  <c r="H112" i="64"/>
  <c r="H287" i="64"/>
  <c r="H288" i="64" s="1"/>
  <c r="G287" i="64"/>
  <c r="G288" i="64" s="1"/>
  <c r="H324" i="64"/>
  <c r="H327" i="64" s="1"/>
  <c r="F112" i="64"/>
  <c r="D131" i="64"/>
  <c r="D132" i="64" s="1"/>
  <c r="F255" i="64"/>
  <c r="F256" i="64" s="1"/>
  <c r="F258" i="64" s="1"/>
  <c r="D287" i="64"/>
  <c r="D288" i="64" s="1"/>
  <c r="I287" i="64"/>
  <c r="I288" i="64" s="1"/>
  <c r="K255" i="64"/>
  <c r="L255" i="64" s="1"/>
  <c r="E256" i="64"/>
  <c r="E258" i="64" s="1"/>
  <c r="E265" i="64"/>
  <c r="E266" i="64" s="1"/>
  <c r="J287" i="64"/>
  <c r="J288" i="64" s="1"/>
  <c r="F324" i="64"/>
  <c r="F327" i="64" s="1"/>
  <c r="K530" i="64"/>
  <c r="K71" i="64"/>
  <c r="K72" i="64" s="1"/>
  <c r="K75" i="64" s="1"/>
  <c r="K76" i="64" s="1"/>
  <c r="I255" i="64"/>
  <c r="E287" i="64"/>
  <c r="E288" i="64" s="1"/>
  <c r="D481" i="64"/>
  <c r="D482" i="64" s="1"/>
  <c r="F265" i="64"/>
  <c r="F266" i="64" s="1"/>
  <c r="J265" i="64"/>
  <c r="K287" i="64"/>
  <c r="L287" i="64" s="1"/>
  <c r="M287" i="64" s="1"/>
  <c r="N287" i="64" s="1"/>
  <c r="O287" i="64" s="1"/>
  <c r="P287" i="64" s="1"/>
  <c r="Q287" i="64" s="1"/>
  <c r="R287" i="64" s="1"/>
  <c r="S287" i="64" s="1"/>
  <c r="T287" i="64" s="1"/>
  <c r="U287" i="64" s="1"/>
  <c r="J324" i="64"/>
  <c r="J327" i="64" s="1"/>
  <c r="J328" i="64" s="1"/>
  <c r="J39" i="64" s="1"/>
  <c r="E351" i="65"/>
  <c r="F347" i="65"/>
  <c r="E334" i="65"/>
  <c r="F327" i="65"/>
  <c r="R107" i="64"/>
  <c r="Q107" i="64"/>
  <c r="I18" i="64"/>
  <c r="L23" i="64"/>
  <c r="M22" i="64"/>
  <c r="K30" i="64"/>
  <c r="L29" i="64" s="1"/>
  <c r="G84" i="64"/>
  <c r="K84" i="64"/>
  <c r="E101" i="64"/>
  <c r="G112" i="64"/>
  <c r="J112" i="64"/>
  <c r="G238" i="64"/>
  <c r="G14" i="64"/>
  <c r="K238" i="64"/>
  <c r="K14" i="64"/>
  <c r="K15" i="64"/>
  <c r="H18" i="64"/>
  <c r="H21" i="64"/>
  <c r="K12" i="64"/>
  <c r="E18" i="64"/>
  <c r="E341" i="64"/>
  <c r="E343" i="64" s="1"/>
  <c r="I341" i="64"/>
  <c r="I343" i="64" s="1"/>
  <c r="D102" i="64"/>
  <c r="G132" i="64"/>
  <c r="E185" i="64"/>
  <c r="E187" i="64" s="1"/>
  <c r="E179" i="64"/>
  <c r="E182" i="64" s="1"/>
  <c r="H12" i="64"/>
  <c r="K20" i="64"/>
  <c r="L19" i="64"/>
  <c r="G15" i="64"/>
  <c r="H20" i="64"/>
  <c r="E23" i="64"/>
  <c r="I23" i="64"/>
  <c r="H30" i="64"/>
  <c r="I101" i="64"/>
  <c r="F132" i="64"/>
  <c r="D179" i="64"/>
  <c r="D182" i="64" s="1"/>
  <c r="D185" i="64"/>
  <c r="D187" i="64" s="1"/>
  <c r="D15" i="64"/>
  <c r="J101" i="64"/>
  <c r="I130" i="64"/>
  <c r="I131" i="64" s="1"/>
  <c r="K137" i="64"/>
  <c r="K139" i="64" s="1"/>
  <c r="G137" i="64"/>
  <c r="G139" i="64" s="1"/>
  <c r="J137" i="64"/>
  <c r="J139" i="64" s="1"/>
  <c r="G148" i="64"/>
  <c r="G149" i="64" s="1"/>
  <c r="F157" i="64"/>
  <c r="F158" i="64" s="1"/>
  <c r="G177" i="64"/>
  <c r="G184" i="64" s="1"/>
  <c r="K177" i="64"/>
  <c r="K184" i="64" s="1"/>
  <c r="K236" i="64"/>
  <c r="G236" i="64"/>
  <c r="E238" i="64"/>
  <c r="J236" i="64"/>
  <c r="F236" i="64"/>
  <c r="I236" i="64"/>
  <c r="H236" i="64"/>
  <c r="I238" i="64"/>
  <c r="G344" i="64"/>
  <c r="I140" i="64"/>
  <c r="O247" i="64"/>
  <c r="G256" i="64"/>
  <c r="G258" i="64" s="1"/>
  <c r="H15" i="64"/>
  <c r="F341" i="64"/>
  <c r="F343" i="64" s="1"/>
  <c r="J341" i="64"/>
  <c r="J343" i="64" s="1"/>
  <c r="I119" i="64"/>
  <c r="A534" i="64"/>
  <c r="A529" i="64"/>
  <c r="A535" i="64"/>
  <c r="A527" i="64"/>
  <c r="A530" i="64"/>
  <c r="A536" i="64"/>
  <c r="A528" i="64"/>
  <c r="L440" i="64"/>
  <c r="C438" i="64"/>
  <c r="D438" i="64" s="1"/>
  <c r="E438" i="64" s="1"/>
  <c r="F438" i="64" s="1"/>
  <c r="G438" i="64" s="1"/>
  <c r="H438" i="64" s="1"/>
  <c r="I438" i="64" s="1"/>
  <c r="J438" i="64" s="1"/>
  <c r="K438" i="64" s="1"/>
  <c r="C406" i="64"/>
  <c r="L372" i="64"/>
  <c r="M372" i="64" s="1"/>
  <c r="N372" i="64" s="1"/>
  <c r="O372" i="64" s="1"/>
  <c r="P372" i="64" s="1"/>
  <c r="Q372" i="64" s="1"/>
  <c r="R372" i="64" s="1"/>
  <c r="S372" i="64" s="1"/>
  <c r="T372" i="64" s="1"/>
  <c r="U372" i="64" s="1"/>
  <c r="L466" i="64"/>
  <c r="M466" i="64" s="1"/>
  <c r="N466" i="64" s="1"/>
  <c r="O466" i="64" s="1"/>
  <c r="P466" i="64" s="1"/>
  <c r="Q466" i="64" s="1"/>
  <c r="R466" i="64" s="1"/>
  <c r="S466" i="64" s="1"/>
  <c r="T466" i="64" s="1"/>
  <c r="U466" i="64" s="1"/>
  <c r="L310" i="64"/>
  <c r="M310" i="64" s="1"/>
  <c r="N310" i="64" s="1"/>
  <c r="O310" i="64" s="1"/>
  <c r="P310" i="64" s="1"/>
  <c r="Q310" i="64" s="1"/>
  <c r="R310" i="64" s="1"/>
  <c r="S310" i="64" s="1"/>
  <c r="T310" i="64" s="1"/>
  <c r="U310" i="64" s="1"/>
  <c r="L311" i="64"/>
  <c r="M311" i="64" s="1"/>
  <c r="N311" i="64" s="1"/>
  <c r="O311" i="64" s="1"/>
  <c r="P311" i="64" s="1"/>
  <c r="Q311" i="64" s="1"/>
  <c r="R311" i="64" s="1"/>
  <c r="S311" i="64" s="1"/>
  <c r="T311" i="64" s="1"/>
  <c r="U311" i="64" s="1"/>
  <c r="L237" i="64"/>
  <c r="M237" i="64" s="1"/>
  <c r="N237" i="64" s="1"/>
  <c r="O237" i="64" s="1"/>
  <c r="P237" i="64" s="1"/>
  <c r="Q237" i="64" s="1"/>
  <c r="R237" i="64" s="1"/>
  <c r="S237" i="64" s="1"/>
  <c r="T237" i="64" s="1"/>
  <c r="U237" i="64" s="1"/>
  <c r="L275" i="64"/>
  <c r="M275" i="64" s="1"/>
  <c r="N275" i="64" s="1"/>
  <c r="O275" i="64" s="1"/>
  <c r="P275" i="64" s="1"/>
  <c r="Q275" i="64" s="1"/>
  <c r="R275" i="64" s="1"/>
  <c r="S275" i="64" s="1"/>
  <c r="T275" i="64" s="1"/>
  <c r="U275" i="64" s="1"/>
  <c r="L248" i="64"/>
  <c r="M248" i="64" s="1"/>
  <c r="L240" i="64"/>
  <c r="L239" i="64" s="1"/>
  <c r="L271" i="64"/>
  <c r="M271" i="64" s="1"/>
  <c r="N271" i="64" s="1"/>
  <c r="O271" i="64" s="1"/>
  <c r="P271" i="64" s="1"/>
  <c r="Q271" i="64" s="1"/>
  <c r="R271" i="64" s="1"/>
  <c r="S271" i="64" s="1"/>
  <c r="T271" i="64" s="1"/>
  <c r="U271" i="64" s="1"/>
  <c r="H157" i="64"/>
  <c r="H158" i="64" s="1"/>
  <c r="D157" i="64"/>
  <c r="J148" i="64"/>
  <c r="J149" i="64" s="1"/>
  <c r="F148" i="64"/>
  <c r="F149" i="64" s="1"/>
  <c r="L228" i="64"/>
  <c r="M228" i="64" s="1"/>
  <c r="N228" i="64" s="1"/>
  <c r="L161" i="64"/>
  <c r="M161" i="64" s="1"/>
  <c r="N161" i="64" s="1"/>
  <c r="O161" i="64" s="1"/>
  <c r="K157" i="64"/>
  <c r="K158" i="64" s="1"/>
  <c r="G157" i="64"/>
  <c r="G158" i="64" s="1"/>
  <c r="I148" i="64"/>
  <c r="I149" i="64" s="1"/>
  <c r="E148" i="64"/>
  <c r="O2" i="64"/>
  <c r="S2" i="64"/>
  <c r="E21" i="64"/>
  <c r="I21" i="64"/>
  <c r="L31" i="64"/>
  <c r="M31" i="64" s="1"/>
  <c r="N31" i="64" s="1"/>
  <c r="O31" i="64" s="1"/>
  <c r="P31" i="64" s="1"/>
  <c r="Q31" i="64" s="1"/>
  <c r="R31" i="64" s="1"/>
  <c r="S31" i="64" s="1"/>
  <c r="T31" i="64" s="1"/>
  <c r="U31" i="64" s="1"/>
  <c r="K341" i="64"/>
  <c r="K343" i="64" s="1"/>
  <c r="M108" i="64"/>
  <c r="Q108" i="64"/>
  <c r="U108" i="64"/>
  <c r="F119" i="64"/>
  <c r="J119" i="64"/>
  <c r="D140" i="64"/>
  <c r="E140" i="64"/>
  <c r="H148" i="64"/>
  <c r="H149" i="64" s="1"/>
  <c r="I157" i="64"/>
  <c r="I158" i="64" s="1"/>
  <c r="H177" i="64"/>
  <c r="H184" i="64" s="1"/>
  <c r="E236" i="64"/>
  <c r="F238" i="64"/>
  <c r="J238" i="64"/>
  <c r="L265" i="64"/>
  <c r="M265" i="64" s="1"/>
  <c r="N265" i="64" s="1"/>
  <c r="O265" i="64" s="1"/>
  <c r="P265" i="64" s="1"/>
  <c r="Q265" i="64" s="1"/>
  <c r="R265" i="64" s="1"/>
  <c r="S265" i="64" s="1"/>
  <c r="T265" i="64" s="1"/>
  <c r="U265" i="64" s="1"/>
  <c r="H254" i="64"/>
  <c r="H255" i="64" s="1"/>
  <c r="H315" i="64" s="1"/>
  <c r="L254" i="64"/>
  <c r="P254" i="64"/>
  <c r="T254" i="64"/>
  <c r="D395" i="64"/>
  <c r="D381" i="64" s="1"/>
  <c r="J315" i="64"/>
  <c r="J250" i="64"/>
  <c r="H282" i="64"/>
  <c r="F101" i="64"/>
  <c r="E119" i="64"/>
  <c r="E130" i="64"/>
  <c r="E131" i="64" s="1"/>
  <c r="L2" i="64"/>
  <c r="P2" i="64"/>
  <c r="T2" i="64"/>
  <c r="H14" i="64"/>
  <c r="L26" i="64"/>
  <c r="D341" i="64"/>
  <c r="D343" i="64" s="1"/>
  <c r="H341" i="64"/>
  <c r="H343" i="64" s="1"/>
  <c r="N108" i="64"/>
  <c r="R108" i="64"/>
  <c r="F137" i="64"/>
  <c r="F139" i="64" s="1"/>
  <c r="H140" i="64"/>
  <c r="K148" i="64"/>
  <c r="K149" i="64" s="1"/>
  <c r="J157" i="64"/>
  <c r="J158" i="64" s="1"/>
  <c r="I177" i="64"/>
  <c r="I184" i="64" s="1"/>
  <c r="J256" i="64"/>
  <c r="J258" i="64" s="1"/>
  <c r="F231" i="64"/>
  <c r="J231" i="64"/>
  <c r="F250" i="64"/>
  <c r="J266" i="64"/>
  <c r="G282" i="64"/>
  <c r="K282" i="64"/>
  <c r="D282" i="64"/>
  <c r="E206" i="64"/>
  <c r="E105" i="64" s="1"/>
  <c r="E112" i="64" s="1"/>
  <c r="I206" i="64"/>
  <c r="I105" i="64" s="1"/>
  <c r="I112" i="64" s="1"/>
  <c r="H239" i="64"/>
  <c r="K239" i="64"/>
  <c r="G239" i="64"/>
  <c r="H266" i="64"/>
  <c r="E282" i="64"/>
  <c r="I282" i="64"/>
  <c r="F306" i="64"/>
  <c r="J306" i="64"/>
  <c r="E324" i="64"/>
  <c r="E327" i="64" s="1"/>
  <c r="I324" i="64"/>
  <c r="I327" i="64" s="1"/>
  <c r="F177" i="64"/>
  <c r="F184" i="64" s="1"/>
  <c r="J177" i="64"/>
  <c r="J184" i="64" s="1"/>
  <c r="G200" i="64"/>
  <c r="K200" i="64"/>
  <c r="G224" i="64"/>
  <c r="K224" i="64"/>
  <c r="D231" i="64"/>
  <c r="F239" i="64"/>
  <c r="E315" i="64"/>
  <c r="I315" i="64"/>
  <c r="I250" i="64"/>
  <c r="E250" i="64"/>
  <c r="F282" i="64"/>
  <c r="J282" i="64"/>
  <c r="F224" i="64"/>
  <c r="J224" i="64"/>
  <c r="G250" i="64"/>
  <c r="K250" i="64"/>
  <c r="D306" i="64"/>
  <c r="H306" i="64"/>
  <c r="E448" i="64"/>
  <c r="E450" i="64" s="1"/>
  <c r="I448" i="64"/>
  <c r="I450" i="64" s="1"/>
  <c r="H250" i="64"/>
  <c r="G324" i="64"/>
  <c r="G327" i="64" s="1"/>
  <c r="K324" i="64"/>
  <c r="K327" i="64" s="1"/>
  <c r="F370" i="64"/>
  <c r="J370" i="64"/>
  <c r="D373" i="64"/>
  <c r="E373" i="64" s="1"/>
  <c r="F448" i="64"/>
  <c r="F450" i="64" s="1"/>
  <c r="J448" i="64"/>
  <c r="J450" i="64" s="1"/>
  <c r="F462" i="64"/>
  <c r="F53" i="64" s="1"/>
  <c r="J462" i="64"/>
  <c r="J53" i="64" s="1"/>
  <c r="H528" i="64"/>
  <c r="H536" i="64" s="1"/>
  <c r="K429" i="64"/>
  <c r="G467" i="64"/>
  <c r="K467" i="64"/>
  <c r="K487" i="64"/>
  <c r="K488" i="64" s="1"/>
  <c r="F496" i="64"/>
  <c r="G448" i="64"/>
  <c r="G450" i="64" s="1"/>
  <c r="K448" i="64"/>
  <c r="K450" i="64" s="1"/>
  <c r="L442" i="64"/>
  <c r="M442" i="64" s="1"/>
  <c r="N442" i="64" s="1"/>
  <c r="O442" i="64" s="1"/>
  <c r="P442" i="64" s="1"/>
  <c r="Q442" i="64" s="1"/>
  <c r="R442" i="64" s="1"/>
  <c r="S442" i="64" s="1"/>
  <c r="T442" i="64" s="1"/>
  <c r="U442" i="64" s="1"/>
  <c r="D462" i="64"/>
  <c r="D53" i="64" s="1"/>
  <c r="H462" i="64"/>
  <c r="H53" i="64" s="1"/>
  <c r="G496" i="64"/>
  <c r="D448" i="64"/>
  <c r="D450" i="64" s="1"/>
  <c r="H448" i="64"/>
  <c r="H450" i="64" s="1"/>
  <c r="E429" i="64"/>
  <c r="I429" i="64"/>
  <c r="G487" i="64"/>
  <c r="G488" i="64" s="1"/>
  <c r="E467" i="64"/>
  <c r="E462" i="64"/>
  <c r="E53" i="64" s="1"/>
  <c r="I462" i="64"/>
  <c r="G462" i="64"/>
  <c r="K462" i="64"/>
  <c r="I467" i="64"/>
  <c r="D488" i="64"/>
  <c r="D496" i="64"/>
  <c r="H496" i="64"/>
  <c r="H487" i="64"/>
  <c r="H488" i="64" s="1"/>
  <c r="E487" i="64"/>
  <c r="E488" i="64" s="1"/>
  <c r="I487" i="64"/>
  <c r="I488" i="64" s="1"/>
  <c r="F488" i="64"/>
  <c r="J488" i="64"/>
  <c r="J496" i="64"/>
  <c r="E527" i="64"/>
  <c r="E68" i="64" s="1"/>
  <c r="E70" i="64" s="1"/>
  <c r="I527" i="64"/>
  <c r="I528" i="64"/>
  <c r="I71" i="64" s="1"/>
  <c r="K534" i="64"/>
  <c r="K67" i="64" s="1"/>
  <c r="D529" i="64"/>
  <c r="D45" i="64" s="1"/>
  <c r="E496" i="64"/>
  <c r="I496" i="64"/>
  <c r="D530" i="64"/>
  <c r="J528" i="64"/>
  <c r="J71" i="64" s="1"/>
  <c r="F527" i="64"/>
  <c r="F68" i="64" s="1"/>
  <c r="G225" i="64" s="1"/>
  <c r="D535" i="64"/>
  <c r="D36" i="64" s="1"/>
  <c r="D536" i="64"/>
  <c r="G529" i="64"/>
  <c r="K529" i="64"/>
  <c r="E259" i="64" l="1"/>
  <c r="D256" i="64"/>
  <c r="D258" i="64" s="1"/>
  <c r="E528" i="64"/>
  <c r="E530" i="64" s="1"/>
  <c r="K225" i="64"/>
  <c r="L225" i="64" s="1"/>
  <c r="M225" i="64" s="1"/>
  <c r="F328" i="64"/>
  <c r="F104" i="64" s="1"/>
  <c r="K439" i="64"/>
  <c r="D328" i="64"/>
  <c r="D489" i="64"/>
  <c r="D48" i="64" s="1"/>
  <c r="H225" i="64"/>
  <c r="L238" i="64"/>
  <c r="U286" i="64"/>
  <c r="D150" i="64"/>
  <c r="D154" i="64" s="1"/>
  <c r="K256" i="64"/>
  <c r="K258" i="64" s="1"/>
  <c r="K315" i="64"/>
  <c r="L438" i="64"/>
  <c r="L439" i="64" s="1"/>
  <c r="K53" i="64"/>
  <c r="H530" i="64"/>
  <c r="M369" i="64"/>
  <c r="L11" i="64"/>
  <c r="L12" i="64" s="1"/>
  <c r="E159" i="64"/>
  <c r="E162" i="64" s="1"/>
  <c r="E168" i="64" s="1"/>
  <c r="E165" i="64"/>
  <c r="E149" i="64"/>
  <c r="M255" i="64"/>
  <c r="N255" i="64" s="1"/>
  <c r="O255" i="64" s="1"/>
  <c r="P255" i="64" s="1"/>
  <c r="Q255" i="64" s="1"/>
  <c r="R255" i="64" s="1"/>
  <c r="S255" i="64" s="1"/>
  <c r="T255" i="64" s="1"/>
  <c r="U255" i="64" s="1"/>
  <c r="L257" i="64"/>
  <c r="D165" i="64"/>
  <c r="D158" i="64"/>
  <c r="G45" i="64"/>
  <c r="K536" i="64"/>
  <c r="E225" i="64"/>
  <c r="J104" i="64"/>
  <c r="G530" i="64"/>
  <c r="G71" i="64"/>
  <c r="G72" i="64" s="1"/>
  <c r="G75" i="64" s="1"/>
  <c r="G76" i="64" s="1"/>
  <c r="G536" i="64"/>
  <c r="H71" i="64"/>
  <c r="H72" i="64" s="1"/>
  <c r="H75" i="64" s="1"/>
  <c r="H76" i="64" s="1"/>
  <c r="H535" i="64"/>
  <c r="I535" i="64"/>
  <c r="I536" i="64"/>
  <c r="G53" i="64"/>
  <c r="H328" i="64"/>
  <c r="H39" i="64" s="1"/>
  <c r="J150" i="64"/>
  <c r="J154" i="64" s="1"/>
  <c r="G347" i="65"/>
  <c r="F351" i="65"/>
  <c r="F334" i="65"/>
  <c r="G327" i="65"/>
  <c r="M366" i="64"/>
  <c r="M368" i="64"/>
  <c r="J439" i="64"/>
  <c r="P161" i="64"/>
  <c r="Q161" i="64" s="1"/>
  <c r="R161" i="64" s="1"/>
  <c r="S161" i="64" s="1"/>
  <c r="T161" i="64" s="1"/>
  <c r="U161" i="64" s="1"/>
  <c r="F165" i="64"/>
  <c r="M440" i="64"/>
  <c r="M438" i="64" s="1"/>
  <c r="D39" i="64"/>
  <c r="D104" i="64"/>
  <c r="D120" i="64" s="1"/>
  <c r="I53" i="64"/>
  <c r="N285" i="64"/>
  <c r="N288" i="64" s="1"/>
  <c r="O228" i="64"/>
  <c r="F39" i="64"/>
  <c r="L30" i="64"/>
  <c r="M18" i="64"/>
  <c r="N17" i="64" s="1"/>
  <c r="N248" i="64"/>
  <c r="G259" i="64"/>
  <c r="G140" i="64"/>
  <c r="F259" i="64"/>
  <c r="I530" i="64"/>
  <c r="G451" i="64"/>
  <c r="G61" i="64" s="1"/>
  <c r="F451" i="64"/>
  <c r="F61" i="64" s="1"/>
  <c r="K328" i="64"/>
  <c r="I328" i="64"/>
  <c r="D259" i="64"/>
  <c r="J259" i="64"/>
  <c r="I185" i="64"/>
  <c r="I187" i="64" s="1"/>
  <c r="I179" i="64"/>
  <c r="I182" i="64" s="1"/>
  <c r="I314" i="64"/>
  <c r="K165" i="64"/>
  <c r="D344" i="64"/>
  <c r="I159" i="64"/>
  <c r="K344" i="64"/>
  <c r="K159" i="64"/>
  <c r="M236" i="64"/>
  <c r="T236" i="64"/>
  <c r="I481" i="64"/>
  <c r="I482" i="64" s="1"/>
  <c r="I489" i="64" s="1"/>
  <c r="I88" i="64"/>
  <c r="I89" i="64" s="1"/>
  <c r="I90" i="64" s="1"/>
  <c r="N236" i="64"/>
  <c r="K481" i="64"/>
  <c r="K482" i="64" s="1"/>
  <c r="K489" i="64" s="1"/>
  <c r="K88" i="64"/>
  <c r="K89" i="64" s="1"/>
  <c r="K90" i="64" s="1"/>
  <c r="L20" i="64"/>
  <c r="M19" i="64"/>
  <c r="E344" i="64"/>
  <c r="K45" i="64"/>
  <c r="L510" i="64"/>
  <c r="L467" i="64"/>
  <c r="L109" i="64" s="1"/>
  <c r="F373" i="64"/>
  <c r="L236" i="64"/>
  <c r="D357" i="64"/>
  <c r="D358" i="64" s="1"/>
  <c r="E406" i="64"/>
  <c r="E407" i="64" s="1"/>
  <c r="L148" i="64"/>
  <c r="L370" i="64"/>
  <c r="L262" i="64"/>
  <c r="D406" i="64"/>
  <c r="D407" i="64" s="1"/>
  <c r="F315" i="64"/>
  <c r="R236" i="64"/>
  <c r="G314" i="64"/>
  <c r="G179" i="64"/>
  <c r="G182" i="64" s="1"/>
  <c r="G36" i="64" s="1"/>
  <c r="G185" i="64"/>
  <c r="J140" i="64"/>
  <c r="D188" i="64"/>
  <c r="E188" i="64"/>
  <c r="M23" i="64"/>
  <c r="N22" i="64"/>
  <c r="D382" i="64"/>
  <c r="D383" i="64" s="1"/>
  <c r="D385" i="64" s="1"/>
  <c r="D49" i="64"/>
  <c r="E535" i="64"/>
  <c r="E36" i="64" s="1"/>
  <c r="H451" i="64"/>
  <c r="H61" i="64" s="1"/>
  <c r="E439" i="64"/>
  <c r="H439" i="64"/>
  <c r="E451" i="64"/>
  <c r="E61" i="64" s="1"/>
  <c r="G315" i="64"/>
  <c r="K259" i="64"/>
  <c r="J179" i="64"/>
  <c r="J182" i="64" s="1"/>
  <c r="J314" i="64"/>
  <c r="E328" i="64"/>
  <c r="J159" i="64"/>
  <c r="H344" i="64"/>
  <c r="M26" i="64"/>
  <c r="F150" i="64"/>
  <c r="F154" i="64" s="1"/>
  <c r="T509" i="64"/>
  <c r="T107" i="64"/>
  <c r="K266" i="64"/>
  <c r="I256" i="64"/>
  <c r="I258" i="64" s="1"/>
  <c r="H314" i="64"/>
  <c r="H185" i="64"/>
  <c r="H187" i="64" s="1"/>
  <c r="H179" i="64"/>
  <c r="H182" i="64" s="1"/>
  <c r="L249" i="64"/>
  <c r="J165" i="64"/>
  <c r="E357" i="64"/>
  <c r="E358" i="64" s="1"/>
  <c r="E348" i="64"/>
  <c r="E349" i="64" s="1"/>
  <c r="F344" i="64"/>
  <c r="H481" i="64"/>
  <c r="H482" i="64" s="1"/>
  <c r="H489" i="64" s="1"/>
  <c r="H88" i="64"/>
  <c r="H89" i="64" s="1"/>
  <c r="H90" i="64" s="1"/>
  <c r="F481" i="64"/>
  <c r="F482" i="64" s="1"/>
  <c r="F489" i="64" s="1"/>
  <c r="F88" i="64"/>
  <c r="F89" i="64" s="1"/>
  <c r="F90" i="64" s="1"/>
  <c r="S236" i="64"/>
  <c r="F159" i="64"/>
  <c r="G165" i="64"/>
  <c r="G150" i="64"/>
  <c r="G154" i="64" s="1"/>
  <c r="K132" i="64"/>
  <c r="I344" i="64"/>
  <c r="F70" i="64"/>
  <c r="K288" i="64"/>
  <c r="E481" i="64"/>
  <c r="E482" i="64" s="1"/>
  <c r="E489" i="64" s="1"/>
  <c r="E88" i="64"/>
  <c r="E89" i="64" s="1"/>
  <c r="E90" i="64" s="1"/>
  <c r="H165" i="64"/>
  <c r="H150" i="64"/>
  <c r="M285" i="64"/>
  <c r="M288" i="64" s="1"/>
  <c r="J344" i="64"/>
  <c r="K185" i="64"/>
  <c r="K187" i="64" s="1"/>
  <c r="L187" i="64" s="1"/>
  <c r="M187" i="64" s="1"/>
  <c r="N187" i="64" s="1"/>
  <c r="O187" i="64" s="1"/>
  <c r="P187" i="64" s="1"/>
  <c r="Q187" i="64" s="1"/>
  <c r="R187" i="64" s="1"/>
  <c r="S187" i="64" s="1"/>
  <c r="T187" i="64" s="1"/>
  <c r="U187" i="64" s="1"/>
  <c r="K179" i="64"/>
  <c r="K182" i="64" s="1"/>
  <c r="J536" i="64"/>
  <c r="J535" i="64"/>
  <c r="J36" i="64" s="1"/>
  <c r="J72" i="64"/>
  <c r="J75" i="64" s="1"/>
  <c r="J76" i="64" s="1"/>
  <c r="I529" i="64"/>
  <c r="I45" i="64" s="1"/>
  <c r="I68" i="64"/>
  <c r="F439" i="64"/>
  <c r="I439" i="64"/>
  <c r="E395" i="64"/>
  <c r="G328" i="64"/>
  <c r="I451" i="64"/>
  <c r="I61" i="64" s="1"/>
  <c r="F140" i="64"/>
  <c r="L509" i="64"/>
  <c r="L107" i="64"/>
  <c r="Q236" i="64"/>
  <c r="O236" i="64"/>
  <c r="K140" i="64"/>
  <c r="J529" i="64"/>
  <c r="J45" i="64" s="1"/>
  <c r="F528" i="64"/>
  <c r="F71" i="64" s="1"/>
  <c r="J530" i="64"/>
  <c r="E529" i="64"/>
  <c r="E45" i="64" s="1"/>
  <c r="K535" i="64"/>
  <c r="D451" i="64"/>
  <c r="D61" i="64" s="1"/>
  <c r="H529" i="64"/>
  <c r="H45" i="64" s="1"/>
  <c r="D439" i="64"/>
  <c r="G439" i="64"/>
  <c r="J451" i="64"/>
  <c r="J61" i="64" s="1"/>
  <c r="F185" i="64"/>
  <c r="F187" i="64" s="1"/>
  <c r="F179" i="64"/>
  <c r="F182" i="64" s="1"/>
  <c r="F314" i="64"/>
  <c r="F225" i="64"/>
  <c r="E132" i="64"/>
  <c r="P509" i="64"/>
  <c r="P107" i="64"/>
  <c r="H256" i="64"/>
  <c r="H258" i="64" s="1"/>
  <c r="U236" i="64"/>
  <c r="I165" i="64"/>
  <c r="I150" i="64"/>
  <c r="I154" i="64" s="1"/>
  <c r="G159" i="64"/>
  <c r="L285" i="64"/>
  <c r="L288" i="64" s="1"/>
  <c r="H159" i="64"/>
  <c r="M240" i="64"/>
  <c r="M239" i="64" s="1"/>
  <c r="D348" i="64"/>
  <c r="D349" i="64" s="1"/>
  <c r="P247" i="64"/>
  <c r="P236" i="64"/>
  <c r="J481" i="64"/>
  <c r="J482" i="64" s="1"/>
  <c r="J489" i="64" s="1"/>
  <c r="J88" i="64"/>
  <c r="J89" i="64" s="1"/>
  <c r="J90" i="64" s="1"/>
  <c r="G481" i="64"/>
  <c r="G482" i="64" s="1"/>
  <c r="G489" i="64" s="1"/>
  <c r="G88" i="64"/>
  <c r="G89" i="64" s="1"/>
  <c r="G90" i="64" s="1"/>
  <c r="K150" i="64"/>
  <c r="K154" i="64" s="1"/>
  <c r="I132" i="64"/>
  <c r="D314" i="64"/>
  <c r="E314" i="64"/>
  <c r="L21" i="64"/>
  <c r="F529" i="64" l="1"/>
  <c r="F45" i="64" s="1"/>
  <c r="D497" i="64"/>
  <c r="D43" i="64"/>
  <c r="E71" i="64"/>
  <c r="E72" i="64" s="1"/>
  <c r="E75" i="64" s="1"/>
  <c r="E76" i="64" s="1"/>
  <c r="E536" i="64"/>
  <c r="D159" i="64"/>
  <c r="D166" i="64" s="1"/>
  <c r="D167" i="64" s="1"/>
  <c r="D44" i="64" s="1"/>
  <c r="E150" i="64"/>
  <c r="E154" i="64" s="1"/>
  <c r="M439" i="64"/>
  <c r="N440" i="64"/>
  <c r="H36" i="64"/>
  <c r="M257" i="64"/>
  <c r="N257" i="64" s="1"/>
  <c r="O257" i="64" s="1"/>
  <c r="P257" i="64" s="1"/>
  <c r="Q257" i="64" s="1"/>
  <c r="R257" i="64" s="1"/>
  <c r="S257" i="64" s="1"/>
  <c r="T257" i="64" s="1"/>
  <c r="U257" i="64" s="1"/>
  <c r="M11" i="64"/>
  <c r="M12" i="64" s="1"/>
  <c r="I36" i="64"/>
  <c r="K166" i="64"/>
  <c r="H166" i="64"/>
  <c r="F166" i="64"/>
  <c r="G166" i="64"/>
  <c r="E166" i="64"/>
  <c r="G49" i="64"/>
  <c r="G187" i="64"/>
  <c r="G188" i="64" s="1"/>
  <c r="G43" i="64" s="1"/>
  <c r="J166" i="64"/>
  <c r="I166" i="64"/>
  <c r="H104" i="64"/>
  <c r="H327" i="65"/>
  <c r="G334" i="65"/>
  <c r="G351" i="65"/>
  <c r="H347" i="65"/>
  <c r="N366" i="64"/>
  <c r="N369" i="64"/>
  <c r="N368" i="64"/>
  <c r="L173" i="64"/>
  <c r="L174" i="64"/>
  <c r="M29" i="64"/>
  <c r="M30" i="64" s="1"/>
  <c r="N29" i="64" s="1"/>
  <c r="L172" i="64"/>
  <c r="L459" i="64"/>
  <c r="L511" i="64" s="1"/>
  <c r="L450" i="64"/>
  <c r="L27" i="64"/>
  <c r="L191" i="64" s="1"/>
  <c r="G39" i="64"/>
  <c r="G104" i="64"/>
  <c r="G120" i="64" s="1"/>
  <c r="K39" i="64"/>
  <c r="K104" i="64"/>
  <c r="K120" i="64" s="1"/>
  <c r="H154" i="64"/>
  <c r="F162" i="64"/>
  <c r="F168" i="64" s="1"/>
  <c r="D386" i="64"/>
  <c r="K162" i="64"/>
  <c r="K168" i="64" s="1"/>
  <c r="G162" i="64"/>
  <c r="G168" i="64" s="1"/>
  <c r="J162" i="64"/>
  <c r="J168" i="64" s="1"/>
  <c r="E39" i="64"/>
  <c r="E104" i="64"/>
  <c r="E120" i="64" s="1"/>
  <c r="F188" i="64"/>
  <c r="F49" i="64"/>
  <c r="F536" i="64"/>
  <c r="F530" i="64"/>
  <c r="F72" i="64"/>
  <c r="F75" i="64" s="1"/>
  <c r="F76" i="64" s="1"/>
  <c r="F535" i="64"/>
  <c r="F36" i="64" s="1"/>
  <c r="E359" i="64"/>
  <c r="E362" i="64" s="1"/>
  <c r="E43" i="64"/>
  <c r="G373" i="64"/>
  <c r="F406" i="64"/>
  <c r="F407" i="64" s="1"/>
  <c r="F357" i="64"/>
  <c r="F358" i="64" s="1"/>
  <c r="F348" i="64"/>
  <c r="F349" i="64" s="1"/>
  <c r="I497" i="64"/>
  <c r="I48" i="64"/>
  <c r="I162" i="64"/>
  <c r="I168" i="64" s="1"/>
  <c r="Q247" i="64"/>
  <c r="I70" i="64"/>
  <c r="I72" i="64" s="1"/>
  <c r="I75" i="64" s="1"/>
  <c r="I76" i="64" s="1"/>
  <c r="J225" i="64"/>
  <c r="I225" i="64"/>
  <c r="K188" i="64"/>
  <c r="E497" i="64"/>
  <c r="E48" i="64"/>
  <c r="H120" i="64"/>
  <c r="H102" i="64"/>
  <c r="M249" i="64"/>
  <c r="L250" i="64"/>
  <c r="N26" i="64"/>
  <c r="D359" i="64"/>
  <c r="D362" i="64" s="1"/>
  <c r="M510" i="64"/>
  <c r="M467" i="64"/>
  <c r="M109" i="64" s="1"/>
  <c r="K49" i="64"/>
  <c r="N19" i="64"/>
  <c r="M20" i="64"/>
  <c r="K497" i="64"/>
  <c r="K48" i="64"/>
  <c r="I188" i="64"/>
  <c r="N18" i="64"/>
  <c r="O17" i="64" s="1"/>
  <c r="L470" i="64"/>
  <c r="L13" i="64"/>
  <c r="L398" i="64"/>
  <c r="L402" i="64"/>
  <c r="G497" i="64"/>
  <c r="G48" i="64"/>
  <c r="H162" i="64"/>
  <c r="H168" i="64" s="1"/>
  <c r="F497" i="64"/>
  <c r="F48" i="64"/>
  <c r="H188" i="64"/>
  <c r="O22" i="64"/>
  <c r="N23" i="64"/>
  <c r="J102" i="64"/>
  <c r="J120" i="64"/>
  <c r="H49" i="64"/>
  <c r="J497" i="64"/>
  <c r="J48" i="64"/>
  <c r="K451" i="64"/>
  <c r="K61" i="64" s="1"/>
  <c r="E49" i="64"/>
  <c r="E381" i="64"/>
  <c r="E382" i="64"/>
  <c r="F395" i="64"/>
  <c r="I49" i="64"/>
  <c r="K314" i="64"/>
  <c r="L184" i="64"/>
  <c r="H497" i="64"/>
  <c r="H48" i="64"/>
  <c r="E350" i="64"/>
  <c r="E353" i="64" s="1"/>
  <c r="E335" i="64"/>
  <c r="E336" i="64" s="1"/>
  <c r="L258" i="64"/>
  <c r="M258" i="64" s="1"/>
  <c r="N258" i="64" s="1"/>
  <c r="O258" i="64" s="1"/>
  <c r="P258" i="64" s="1"/>
  <c r="Q258" i="64" s="1"/>
  <c r="R258" i="64" s="1"/>
  <c r="S258" i="64" s="1"/>
  <c r="T258" i="64" s="1"/>
  <c r="U258" i="64" s="1"/>
  <c r="D408" i="64"/>
  <c r="D420" i="64"/>
  <c r="D421" i="64" s="1"/>
  <c r="L165" i="64"/>
  <c r="L176" i="64"/>
  <c r="L178" i="64"/>
  <c r="L175" i="64"/>
  <c r="M481" i="64"/>
  <c r="M88" i="64"/>
  <c r="I39" i="64"/>
  <c r="I104" i="64"/>
  <c r="I120" i="64" s="1"/>
  <c r="M21" i="64"/>
  <c r="O285" i="64"/>
  <c r="O288" i="64" s="1"/>
  <c r="P228" i="64"/>
  <c r="M157" i="64"/>
  <c r="M148" i="64"/>
  <c r="L441" i="64"/>
  <c r="E102" i="64"/>
  <c r="K102" i="64"/>
  <c r="N225" i="64"/>
  <c r="O248" i="64"/>
  <c r="P248" i="64" s="1"/>
  <c r="D350" i="64"/>
  <c r="D353" i="64" s="1"/>
  <c r="D335" i="64"/>
  <c r="D336" i="64" s="1"/>
  <c r="K36" i="64"/>
  <c r="N240" i="64"/>
  <c r="N239" i="64" s="1"/>
  <c r="N88" i="64" s="1"/>
  <c r="G102" i="64"/>
  <c r="M262" i="64"/>
  <c r="M370" i="64"/>
  <c r="H259" i="64"/>
  <c r="M322" i="64"/>
  <c r="F102" i="64"/>
  <c r="F120" i="64"/>
  <c r="J185" i="64"/>
  <c r="E408" i="64"/>
  <c r="E420" i="64"/>
  <c r="E421" i="64" s="1"/>
  <c r="L481" i="64"/>
  <c r="L88" i="64"/>
  <c r="I102" i="64"/>
  <c r="N438" i="64" l="1"/>
  <c r="N439" i="64" s="1"/>
  <c r="E35" i="64"/>
  <c r="E38" i="64" s="1"/>
  <c r="E42" i="64" s="1"/>
  <c r="E121" i="64" s="1"/>
  <c r="D162" i="64"/>
  <c r="D168" i="64" s="1"/>
  <c r="J167" i="64"/>
  <c r="J44" i="64" s="1"/>
  <c r="J46" i="64" s="1"/>
  <c r="G167" i="64"/>
  <c r="G44" i="64" s="1"/>
  <c r="G46" i="64" s="1"/>
  <c r="K167" i="64"/>
  <c r="K44" i="64" s="1"/>
  <c r="K47" i="64" s="1"/>
  <c r="F167" i="64"/>
  <c r="F44" i="64" s="1"/>
  <c r="F47" i="64" s="1"/>
  <c r="I167" i="64"/>
  <c r="I44" i="64" s="1"/>
  <c r="I47" i="64" s="1"/>
  <c r="E167" i="64"/>
  <c r="E44" i="64" s="1"/>
  <c r="E47" i="64" s="1"/>
  <c r="H167" i="64"/>
  <c r="H44" i="64" s="1"/>
  <c r="H47" i="64" s="1"/>
  <c r="O440" i="64"/>
  <c r="N11" i="64"/>
  <c r="N12" i="64" s="1"/>
  <c r="J49" i="64"/>
  <c r="J187" i="64"/>
  <c r="J188" i="64" s="1"/>
  <c r="J43" i="64" s="1"/>
  <c r="H43" i="64"/>
  <c r="H351" i="65"/>
  <c r="I347" i="65"/>
  <c r="H334" i="65"/>
  <c r="I327" i="65"/>
  <c r="O369" i="64"/>
  <c r="O368" i="64"/>
  <c r="O366" i="64"/>
  <c r="M174" i="64"/>
  <c r="F35" i="64"/>
  <c r="F38" i="64" s="1"/>
  <c r="F42" i="64" s="1"/>
  <c r="F121" i="64" s="1"/>
  <c r="M173" i="64"/>
  <c r="M172" i="64"/>
  <c r="L343" i="64"/>
  <c r="L190" i="64"/>
  <c r="M27" i="64"/>
  <c r="M191" i="64" s="1"/>
  <c r="J35" i="64"/>
  <c r="J38" i="64" s="1"/>
  <c r="J42" i="64" s="1"/>
  <c r="J121" i="64" s="1"/>
  <c r="M165" i="64"/>
  <c r="M459" i="64"/>
  <c r="M511" i="64" s="1"/>
  <c r="M450" i="64"/>
  <c r="K35" i="64"/>
  <c r="K38" i="64" s="1"/>
  <c r="K42" i="64" s="1"/>
  <c r="K121" i="64" s="1"/>
  <c r="J47" i="64"/>
  <c r="D354" i="64"/>
  <c r="E363" i="64"/>
  <c r="N30" i="64"/>
  <c r="O29" i="64" s="1"/>
  <c r="O18" i="64"/>
  <c r="P17" i="64" s="1"/>
  <c r="D363" i="64"/>
  <c r="N510" i="64"/>
  <c r="N467" i="64"/>
  <c r="N109" i="64" s="1"/>
  <c r="F43" i="64"/>
  <c r="E422" i="64"/>
  <c r="N262" i="64"/>
  <c r="N370" i="64"/>
  <c r="K43" i="64"/>
  <c r="O225" i="64"/>
  <c r="P285" i="64"/>
  <c r="P288" i="64" s="1"/>
  <c r="Q228" i="64"/>
  <c r="D47" i="64"/>
  <c r="D46" i="64"/>
  <c r="M175" i="64"/>
  <c r="D422" i="64"/>
  <c r="L193" i="64"/>
  <c r="L192" i="64" s="1"/>
  <c r="E383" i="64"/>
  <c r="E385" i="64" s="1"/>
  <c r="N20" i="64"/>
  <c r="O19" i="64"/>
  <c r="O21" i="64" s="1"/>
  <c r="H373" i="64"/>
  <c r="G348" i="64"/>
  <c r="G349" i="64" s="1"/>
  <c r="G406" i="64"/>
  <c r="G407" i="64" s="1"/>
  <c r="G357" i="64"/>
  <c r="G358" i="64" s="1"/>
  <c r="H35" i="64"/>
  <c r="H38" i="64" s="1"/>
  <c r="H42" i="64" s="1"/>
  <c r="H121" i="64" s="1"/>
  <c r="F420" i="64"/>
  <c r="F421" i="64" s="1"/>
  <c r="E411" i="64"/>
  <c r="E413" i="64" s="1"/>
  <c r="E412" i="64" s="1"/>
  <c r="O240" i="64"/>
  <c r="O239" i="64" s="1"/>
  <c r="M441" i="64"/>
  <c r="N148" i="64"/>
  <c r="N157" i="64"/>
  <c r="L253" i="64"/>
  <c r="L256" i="64" s="1"/>
  <c r="L259" i="64" s="1"/>
  <c r="M178" i="64"/>
  <c r="D411" i="64"/>
  <c r="D413" i="64" s="1"/>
  <c r="D412" i="64" s="1"/>
  <c r="O23" i="64"/>
  <c r="P22" i="64"/>
  <c r="L517" i="64"/>
  <c r="M402" i="64"/>
  <c r="L403" i="64"/>
  <c r="L116" i="64" s="1"/>
  <c r="L14" i="64"/>
  <c r="L304" i="64" s="1"/>
  <c r="L139" i="64"/>
  <c r="L15" i="64"/>
  <c r="M13" i="64"/>
  <c r="L125" i="64"/>
  <c r="L136" i="64"/>
  <c r="L331" i="64"/>
  <c r="L512" i="64" s="1"/>
  <c r="L289" i="64"/>
  <c r="L318" i="64" s="1"/>
  <c r="L127" i="64"/>
  <c r="L461" i="64"/>
  <c r="L445" i="64"/>
  <c r="L384" i="64"/>
  <c r="L129" i="64"/>
  <c r="L323" i="64"/>
  <c r="L297" i="64"/>
  <c r="L280" i="64"/>
  <c r="L293" i="64"/>
  <c r="L233" i="64"/>
  <c r="L229" i="64" s="1"/>
  <c r="L301" i="64"/>
  <c r="L326" i="64"/>
  <c r="L327" i="64" s="1"/>
  <c r="L166" i="64"/>
  <c r="L167" i="64" s="1"/>
  <c r="L352" i="64"/>
  <c r="L361" i="64"/>
  <c r="L128" i="64"/>
  <c r="L427" i="64"/>
  <c r="L143" i="64"/>
  <c r="L126" i="64"/>
  <c r="L181" i="64"/>
  <c r="L428" i="64"/>
  <c r="L426" i="64"/>
  <c r="L131" i="64"/>
  <c r="N249" i="64"/>
  <c r="M250" i="64"/>
  <c r="R247" i="64"/>
  <c r="Q248" i="64"/>
  <c r="I35" i="64"/>
  <c r="I38" i="64" s="1"/>
  <c r="I42" i="64" s="1"/>
  <c r="I121" i="64" s="1"/>
  <c r="F350" i="64"/>
  <c r="F353" i="64" s="1"/>
  <c r="F335" i="64"/>
  <c r="F336" i="64" s="1"/>
  <c r="N322" i="64"/>
  <c r="N481" i="64"/>
  <c r="E354" i="64"/>
  <c r="D337" i="64"/>
  <c r="L487" i="64"/>
  <c r="L96" i="64"/>
  <c r="M176" i="64"/>
  <c r="I259" i="64"/>
  <c r="I43" i="64" s="1"/>
  <c r="E337" i="64"/>
  <c r="M184" i="64"/>
  <c r="F381" i="64"/>
  <c r="F382" i="64"/>
  <c r="G395" i="64"/>
  <c r="L516" i="64"/>
  <c r="L455" i="64"/>
  <c r="L518" i="64" s="1"/>
  <c r="L399" i="64"/>
  <c r="M398" i="64"/>
  <c r="M470" i="64"/>
  <c r="L471" i="64"/>
  <c r="N21" i="64"/>
  <c r="O26" i="64"/>
  <c r="F359" i="64"/>
  <c r="F362" i="64" s="1"/>
  <c r="G35" i="64"/>
  <c r="G38" i="64" s="1"/>
  <c r="G42" i="64" s="1"/>
  <c r="G121" i="64" s="1"/>
  <c r="O438" i="64" l="1"/>
  <c r="K46" i="64"/>
  <c r="F383" i="64"/>
  <c r="F385" i="64" s="1"/>
  <c r="E46" i="64"/>
  <c r="H46" i="64"/>
  <c r="D35" i="64"/>
  <c r="D38" i="64" s="1"/>
  <c r="D42" i="64" s="1"/>
  <c r="D121" i="64" s="1"/>
  <c r="G47" i="64"/>
  <c r="I46" i="64"/>
  <c r="P440" i="64"/>
  <c r="M126" i="64"/>
  <c r="M361" i="64"/>
  <c r="L332" i="64"/>
  <c r="L41" i="64" s="1"/>
  <c r="O11" i="64"/>
  <c r="O12" i="64" s="1"/>
  <c r="F46" i="64"/>
  <c r="I351" i="65"/>
  <c r="J347" i="65"/>
  <c r="I334" i="65"/>
  <c r="J327" i="65"/>
  <c r="P369" i="64"/>
  <c r="P368" i="64"/>
  <c r="P366" i="64"/>
  <c r="N174" i="64"/>
  <c r="N173" i="64"/>
  <c r="N172" i="64"/>
  <c r="M190" i="64"/>
  <c r="M129" i="64"/>
  <c r="M127" i="64"/>
  <c r="E59" i="64"/>
  <c r="E62" i="64" s="1"/>
  <c r="E63" i="64" s="1"/>
  <c r="N165" i="64"/>
  <c r="N176" i="64"/>
  <c r="N450" i="64"/>
  <c r="M352" i="64"/>
  <c r="N27" i="64"/>
  <c r="N191" i="64" s="1"/>
  <c r="N459" i="64"/>
  <c r="N511" i="64" s="1"/>
  <c r="M428" i="64"/>
  <c r="M427" i="64"/>
  <c r="F354" i="64"/>
  <c r="F363" i="64"/>
  <c r="L168" i="64"/>
  <c r="P18" i="64"/>
  <c r="Q17" i="64" s="1"/>
  <c r="D52" i="64"/>
  <c r="D54" i="64" s="1"/>
  <c r="D57" i="64" s="1"/>
  <c r="M516" i="64"/>
  <c r="M455" i="64"/>
  <c r="M518" i="64" s="1"/>
  <c r="M399" i="64"/>
  <c r="N398" i="64"/>
  <c r="F386" i="64"/>
  <c r="O322" i="64"/>
  <c r="L230" i="64"/>
  <c r="L198" i="64" s="1"/>
  <c r="L475" i="64"/>
  <c r="L80" i="64"/>
  <c r="O481" i="64"/>
  <c r="O88" i="64"/>
  <c r="L114" i="64"/>
  <c r="L515" i="64"/>
  <c r="L324" i="64"/>
  <c r="L130" i="64"/>
  <c r="M125" i="64"/>
  <c r="L306" i="64"/>
  <c r="L135" i="64"/>
  <c r="L137" i="64" s="1"/>
  <c r="L140" i="64" s="1"/>
  <c r="Q22" i="64"/>
  <c r="P23" i="64"/>
  <c r="O157" i="64"/>
  <c r="O148" i="64"/>
  <c r="M487" i="64"/>
  <c r="M96" i="64"/>
  <c r="I373" i="64"/>
  <c r="H406" i="64"/>
  <c r="H407" i="64" s="1"/>
  <c r="H357" i="64"/>
  <c r="H358" i="64" s="1"/>
  <c r="H348" i="64"/>
  <c r="H349" i="64" s="1"/>
  <c r="O20" i="64"/>
  <c r="P19" i="64"/>
  <c r="P225" i="64"/>
  <c r="O510" i="64"/>
  <c r="O467" i="64"/>
  <c r="O109" i="64" s="1"/>
  <c r="M426" i="64"/>
  <c r="L429" i="64"/>
  <c r="L209" i="64"/>
  <c r="F422" i="64"/>
  <c r="G350" i="64"/>
  <c r="G353" i="64" s="1"/>
  <c r="G335" i="64"/>
  <c r="G336" i="64" s="1"/>
  <c r="M193" i="64"/>
  <c r="M192" i="64" s="1"/>
  <c r="O30" i="64"/>
  <c r="P29" i="64" s="1"/>
  <c r="L456" i="64"/>
  <c r="L117" i="64" s="1"/>
  <c r="L115" i="64"/>
  <c r="N184" i="64"/>
  <c r="D59" i="64"/>
  <c r="D62" i="64" s="1"/>
  <c r="D63" i="64" s="1"/>
  <c r="G381" i="64"/>
  <c r="H395" i="64"/>
  <c r="G382" i="64"/>
  <c r="F337" i="64"/>
  <c r="O249" i="64"/>
  <c r="N250" i="64"/>
  <c r="L263" i="64"/>
  <c r="M181" i="64"/>
  <c r="M128" i="64"/>
  <c r="L278" i="64"/>
  <c r="L152" i="64"/>
  <c r="N13" i="64"/>
  <c r="M297" i="64"/>
  <c r="M15" i="64"/>
  <c r="M14" i="64"/>
  <c r="M304" i="64" s="1"/>
  <c r="M280" i="64"/>
  <c r="M326" i="64"/>
  <c r="M327" i="64" s="1"/>
  <c r="M301" i="64"/>
  <c r="M384" i="64"/>
  <c r="M331" i="64"/>
  <c r="M512" i="64" s="1"/>
  <c r="M323" i="64"/>
  <c r="M293" i="64"/>
  <c r="M166" i="64"/>
  <c r="M167" i="64" s="1"/>
  <c r="M136" i="64"/>
  <c r="M289" i="64"/>
  <c r="M318" i="64" s="1"/>
  <c r="M233" i="64"/>
  <c r="M229" i="64" s="1"/>
  <c r="M139" i="64"/>
  <c r="M143" i="64"/>
  <c r="F408" i="64"/>
  <c r="G359" i="64"/>
  <c r="G362" i="64" s="1"/>
  <c r="E386" i="64"/>
  <c r="E52" i="64" s="1"/>
  <c r="E54" i="64" s="1"/>
  <c r="E57" i="64" s="1"/>
  <c r="Q285" i="64"/>
  <c r="Q288" i="64" s="1"/>
  <c r="R228" i="64"/>
  <c r="P240" i="64"/>
  <c r="O262" i="64"/>
  <c r="O370" i="64"/>
  <c r="O439" i="64"/>
  <c r="O441" i="64" s="1"/>
  <c r="M461" i="64"/>
  <c r="L462" i="64"/>
  <c r="P26" i="64"/>
  <c r="N470" i="64"/>
  <c r="M471" i="64"/>
  <c r="N441" i="64"/>
  <c r="M343" i="64"/>
  <c r="S247" i="64"/>
  <c r="R248" i="64"/>
  <c r="M131" i="64"/>
  <c r="L144" i="64"/>
  <c r="L81" i="64" s="1"/>
  <c r="L494" i="64"/>
  <c r="L502" i="64" s="1"/>
  <c r="M445" i="64"/>
  <c r="L98" i="64"/>
  <c r="M517" i="64"/>
  <c r="N402" i="64"/>
  <c r="M403" i="64"/>
  <c r="M116" i="64" s="1"/>
  <c r="M253" i="64"/>
  <c r="M256" i="64" s="1"/>
  <c r="M259" i="64" s="1"/>
  <c r="N178" i="64"/>
  <c r="G408" i="64"/>
  <c r="G420" i="64"/>
  <c r="G421" i="64" s="1"/>
  <c r="L171" i="64"/>
  <c r="N175" i="64"/>
  <c r="P438" i="64" l="1"/>
  <c r="P439" i="64" s="1"/>
  <c r="G383" i="64"/>
  <c r="G385" i="64" s="1"/>
  <c r="Q440" i="64"/>
  <c r="P11" i="64"/>
  <c r="P12" i="64" s="1"/>
  <c r="K347" i="65"/>
  <c r="K351" i="65" s="1"/>
  <c r="J351" i="65"/>
  <c r="J334" i="65"/>
  <c r="K327" i="65"/>
  <c r="K334" i="65" s="1"/>
  <c r="Q369" i="64"/>
  <c r="Q368" i="64"/>
  <c r="Q366" i="64"/>
  <c r="O174" i="64"/>
  <c r="O173" i="64"/>
  <c r="N129" i="64"/>
  <c r="O172" i="64"/>
  <c r="O459" i="64"/>
  <c r="O511" i="64" s="1"/>
  <c r="O27" i="64"/>
  <c r="O191" i="64" s="1"/>
  <c r="N352" i="64"/>
  <c r="O175" i="64"/>
  <c r="N361" i="64"/>
  <c r="M332" i="64"/>
  <c r="M41" i="64" s="1"/>
  <c r="N190" i="64"/>
  <c r="N126" i="64"/>
  <c r="O450" i="64"/>
  <c r="O176" i="64"/>
  <c r="M168" i="64"/>
  <c r="F59" i="64"/>
  <c r="F62" i="64" s="1"/>
  <c r="F63" i="64" s="1"/>
  <c r="M144" i="64"/>
  <c r="M81" i="64" s="1"/>
  <c r="E56" i="64"/>
  <c r="M135" i="64"/>
  <c r="M137" i="64" s="1"/>
  <c r="M140" i="64" s="1"/>
  <c r="M306" i="64"/>
  <c r="P30" i="64"/>
  <c r="Q29" i="64" s="1"/>
  <c r="G354" i="64"/>
  <c r="G411" i="64"/>
  <c r="G413" i="64" s="1"/>
  <c r="G412" i="64" s="1"/>
  <c r="M230" i="64"/>
  <c r="M231" i="64" s="1"/>
  <c r="Q18" i="64"/>
  <c r="R17" i="64" s="1"/>
  <c r="L110" i="64"/>
  <c r="M152" i="64"/>
  <c r="L153" i="64"/>
  <c r="P249" i="64"/>
  <c r="O250" i="64"/>
  <c r="H408" i="64"/>
  <c r="H420" i="64"/>
  <c r="H421" i="64" s="1"/>
  <c r="G422" i="64"/>
  <c r="N461" i="64"/>
  <c r="M462" i="64"/>
  <c r="P262" i="64"/>
  <c r="P370" i="64"/>
  <c r="G363" i="64"/>
  <c r="N15" i="64"/>
  <c r="N143" i="64"/>
  <c r="N14" i="64"/>
  <c r="N304" i="64" s="1"/>
  <c r="O13" i="64"/>
  <c r="N297" i="64"/>
  <c r="N280" i="64"/>
  <c r="N384" i="64"/>
  <c r="N136" i="64"/>
  <c r="N331" i="64"/>
  <c r="N512" i="64" s="1"/>
  <c r="N166" i="64"/>
  <c r="N167" i="64" s="1"/>
  <c r="N139" i="64"/>
  <c r="N326" i="64"/>
  <c r="N327" i="64" s="1"/>
  <c r="N293" i="64"/>
  <c r="N233" i="64"/>
  <c r="N229" i="64" s="1"/>
  <c r="N323" i="64"/>
  <c r="N301" i="64"/>
  <c r="N289" i="64"/>
  <c r="N318" i="64" s="1"/>
  <c r="M263" i="64"/>
  <c r="N181" i="64"/>
  <c r="G386" i="64"/>
  <c r="O184" i="64"/>
  <c r="G337" i="64"/>
  <c r="P510" i="64"/>
  <c r="P467" i="64"/>
  <c r="P109" i="64" s="1"/>
  <c r="Q225" i="64"/>
  <c r="J373" i="64"/>
  <c r="I348" i="64"/>
  <c r="I349" i="64" s="1"/>
  <c r="I357" i="64"/>
  <c r="I358" i="64" s="1"/>
  <c r="I406" i="64"/>
  <c r="I407" i="64" s="1"/>
  <c r="O165" i="64"/>
  <c r="N127" i="64"/>
  <c r="N427" i="64"/>
  <c r="L231" i="64"/>
  <c r="P322" i="64"/>
  <c r="N516" i="64"/>
  <c r="N455" i="64"/>
  <c r="N518" i="64" s="1"/>
  <c r="O398" i="64"/>
  <c r="N399" i="64"/>
  <c r="D56" i="64"/>
  <c r="N131" i="64"/>
  <c r="R285" i="64"/>
  <c r="R288" i="64" s="1"/>
  <c r="S228" i="64"/>
  <c r="H381" i="64"/>
  <c r="H382" i="64"/>
  <c r="I395" i="64"/>
  <c r="P20" i="64"/>
  <c r="Q19" i="64"/>
  <c r="N471" i="64"/>
  <c r="O470" i="64"/>
  <c r="M171" i="64"/>
  <c r="L177" i="64"/>
  <c r="N487" i="64"/>
  <c r="N96" i="64"/>
  <c r="Q26" i="64"/>
  <c r="O487" i="64"/>
  <c r="O96" i="64"/>
  <c r="M475" i="64"/>
  <c r="M80" i="64"/>
  <c r="M114" i="64"/>
  <c r="M515" i="64"/>
  <c r="M324" i="64"/>
  <c r="L279" i="64"/>
  <c r="L281" i="64"/>
  <c r="L210" i="64"/>
  <c r="L106" i="64" s="1"/>
  <c r="H350" i="64"/>
  <c r="H353" i="64" s="1"/>
  <c r="H335" i="64"/>
  <c r="H336" i="64" s="1"/>
  <c r="L307" i="64"/>
  <c r="L314" i="64"/>
  <c r="L196" i="64" s="1"/>
  <c r="L507" i="64"/>
  <c r="L328" i="64"/>
  <c r="L39" i="64" s="1"/>
  <c r="N428" i="64"/>
  <c r="M456" i="64"/>
  <c r="M117" i="64" s="1"/>
  <c r="M115" i="64"/>
  <c r="P21" i="64"/>
  <c r="N193" i="64"/>
  <c r="N192" i="64" s="1"/>
  <c r="L132" i="64"/>
  <c r="N253" i="64"/>
  <c r="N256" i="64" s="1"/>
  <c r="N259" i="64" s="1"/>
  <c r="O178" i="64"/>
  <c r="N517" i="64"/>
  <c r="N403" i="64"/>
  <c r="N116" i="64" s="1"/>
  <c r="O402" i="64"/>
  <c r="M494" i="64"/>
  <c r="M502" i="64" s="1"/>
  <c r="N445" i="64"/>
  <c r="M98" i="64"/>
  <c r="T247" i="64"/>
  <c r="S248" i="64"/>
  <c r="N343" i="64"/>
  <c r="Q240" i="64"/>
  <c r="R240" i="64" s="1"/>
  <c r="P239" i="64"/>
  <c r="F411" i="64"/>
  <c r="F413" i="64" s="1"/>
  <c r="F412" i="64" s="1"/>
  <c r="N128" i="64"/>
  <c r="M278" i="64"/>
  <c r="N426" i="64"/>
  <c r="M429" i="64"/>
  <c r="M209" i="64"/>
  <c r="H359" i="64"/>
  <c r="H362" i="64" s="1"/>
  <c r="P148" i="64"/>
  <c r="P157" i="64"/>
  <c r="Q23" i="64"/>
  <c r="R22" i="64"/>
  <c r="M130" i="64"/>
  <c r="N125" i="64"/>
  <c r="Q438" i="64" l="1"/>
  <c r="R440" i="64"/>
  <c r="R438" i="64" s="1"/>
  <c r="R369" i="64"/>
  <c r="R368" i="64"/>
  <c r="R366" i="64"/>
  <c r="P174" i="64"/>
  <c r="P173" i="64"/>
  <c r="O361" i="64"/>
  <c r="P172" i="64"/>
  <c r="O190" i="64"/>
  <c r="L93" i="64"/>
  <c r="N144" i="64"/>
  <c r="N81" i="64" s="1"/>
  <c r="O352" i="64"/>
  <c r="O126" i="64"/>
  <c r="O428" i="64"/>
  <c r="O427" i="64"/>
  <c r="N332" i="64"/>
  <c r="N41" i="64" s="1"/>
  <c r="O127" i="64"/>
  <c r="N168" i="64"/>
  <c r="O343" i="64"/>
  <c r="M153" i="64"/>
  <c r="P176" i="64"/>
  <c r="P459" i="64"/>
  <c r="P511" i="64" s="1"/>
  <c r="P27" i="64"/>
  <c r="P191" i="64" s="1"/>
  <c r="P175" i="64"/>
  <c r="P450" i="64"/>
  <c r="S240" i="64"/>
  <c r="S239" i="64" s="1"/>
  <c r="N230" i="64"/>
  <c r="N231" i="64" s="1"/>
  <c r="N306" i="64"/>
  <c r="N135" i="64"/>
  <c r="N137" i="64" s="1"/>
  <c r="N140" i="64" s="1"/>
  <c r="G52" i="64"/>
  <c r="G54" i="64" s="1"/>
  <c r="G57" i="64" s="1"/>
  <c r="H411" i="64"/>
  <c r="H413" i="64" s="1"/>
  <c r="H412" i="64" s="1"/>
  <c r="H354" i="64"/>
  <c r="H363" i="64"/>
  <c r="M507" i="64"/>
  <c r="M328" i="64"/>
  <c r="M39" i="64" s="1"/>
  <c r="S285" i="64"/>
  <c r="S288" i="64" s="1"/>
  <c r="T228" i="64"/>
  <c r="P184" i="64"/>
  <c r="P441" i="64"/>
  <c r="H422" i="64"/>
  <c r="Q157" i="64"/>
  <c r="Q148" i="64"/>
  <c r="M210" i="64"/>
  <c r="M106" i="64" s="1"/>
  <c r="O128" i="64"/>
  <c r="N278" i="64"/>
  <c r="P481" i="64"/>
  <c r="P88" i="64"/>
  <c r="O253" i="64"/>
  <c r="O256" i="64" s="1"/>
  <c r="O259" i="64" s="1"/>
  <c r="P178" i="64"/>
  <c r="L342" i="64"/>
  <c r="L264" i="64"/>
  <c r="L185" i="64"/>
  <c r="L188" i="64" s="1"/>
  <c r="L179" i="64"/>
  <c r="L182" i="64" s="1"/>
  <c r="I381" i="64"/>
  <c r="I382" i="64"/>
  <c r="J395" i="64"/>
  <c r="M132" i="64"/>
  <c r="N456" i="64"/>
  <c r="N117" i="64" s="1"/>
  <c r="N115" i="64"/>
  <c r="Q322" i="64"/>
  <c r="I350" i="64"/>
  <c r="I353" i="64" s="1"/>
  <c r="I335" i="64"/>
  <c r="I336" i="64" s="1"/>
  <c r="N114" i="64"/>
  <c r="N515" i="64"/>
  <c r="N324" i="64"/>
  <c r="M110" i="64"/>
  <c r="Q249" i="64"/>
  <c r="P250" i="64"/>
  <c r="R18" i="64"/>
  <c r="S17" i="64" s="1"/>
  <c r="Q30" i="64"/>
  <c r="N130" i="64"/>
  <c r="N132" i="64" s="1"/>
  <c r="O125" i="64"/>
  <c r="M279" i="64"/>
  <c r="M281" i="64"/>
  <c r="N494" i="64"/>
  <c r="N502" i="64" s="1"/>
  <c r="O445" i="64"/>
  <c r="N98" i="64"/>
  <c r="R26" i="64"/>
  <c r="I359" i="64"/>
  <c r="I362" i="64" s="1"/>
  <c r="Q262" i="64"/>
  <c r="Q370" i="64"/>
  <c r="O517" i="64"/>
  <c r="O403" i="64"/>
  <c r="O116" i="64" s="1"/>
  <c r="P402" i="64"/>
  <c r="F52" i="64"/>
  <c r="F54" i="64" s="1"/>
  <c r="F57" i="64" s="1"/>
  <c r="N171" i="64"/>
  <c r="M177" i="64"/>
  <c r="R19" i="64"/>
  <c r="R21" i="64" s="1"/>
  <c r="Q20" i="64"/>
  <c r="O131" i="64"/>
  <c r="O516" i="64"/>
  <c r="O455" i="64"/>
  <c r="O518" i="64" s="1"/>
  <c r="P398" i="64"/>
  <c r="O399" i="64"/>
  <c r="K373" i="64"/>
  <c r="J348" i="64"/>
  <c r="J349" i="64" s="1"/>
  <c r="J406" i="64"/>
  <c r="J407" i="64" s="1"/>
  <c r="J357" i="64"/>
  <c r="J358" i="64" s="1"/>
  <c r="Q510" i="64"/>
  <c r="Q467" i="64"/>
  <c r="Q109" i="64" s="1"/>
  <c r="G59" i="64"/>
  <c r="G62" i="64" s="1"/>
  <c r="G63" i="64" s="1"/>
  <c r="N475" i="64"/>
  <c r="N80" i="64"/>
  <c r="O461" i="64"/>
  <c r="N462" i="64"/>
  <c r="Q21" i="64"/>
  <c r="S22" i="64"/>
  <c r="R23" i="64"/>
  <c r="N429" i="64"/>
  <c r="O426" i="64"/>
  <c r="N209" i="64"/>
  <c r="P165" i="64"/>
  <c r="R239" i="64"/>
  <c r="Q239" i="64"/>
  <c r="U247" i="64"/>
  <c r="T248" i="64"/>
  <c r="O193" i="64"/>
  <c r="O192" i="64" s="1"/>
  <c r="H337" i="64"/>
  <c r="L282" i="64"/>
  <c r="O471" i="64"/>
  <c r="P470" i="64"/>
  <c r="H383" i="64"/>
  <c r="H385" i="64" s="1"/>
  <c r="Q11" i="64"/>
  <c r="I408" i="64"/>
  <c r="I420" i="64"/>
  <c r="I421" i="64" s="1"/>
  <c r="R225" i="64"/>
  <c r="N263" i="64"/>
  <c r="O181" i="64"/>
  <c r="O233" i="64"/>
  <c r="O229" i="64" s="1"/>
  <c r="O14" i="64"/>
  <c r="O304" i="64" s="1"/>
  <c r="P13" i="64"/>
  <c r="O15" i="64"/>
  <c r="O143" i="64"/>
  <c r="O326" i="64"/>
  <c r="O327" i="64" s="1"/>
  <c r="O280" i="64"/>
  <c r="O293" i="64"/>
  <c r="O297" i="64"/>
  <c r="O384" i="64"/>
  <c r="O323" i="64"/>
  <c r="O289" i="64"/>
  <c r="O318" i="64" s="1"/>
  <c r="O139" i="64"/>
  <c r="O166" i="64"/>
  <c r="O167" i="64" s="1"/>
  <c r="O136" i="64"/>
  <c r="O331" i="64"/>
  <c r="O512" i="64" s="1"/>
  <c r="O301" i="64"/>
  <c r="Q439" i="64"/>
  <c r="O129" i="64"/>
  <c r="N152" i="64"/>
  <c r="M307" i="64"/>
  <c r="M314" i="64"/>
  <c r="D24" i="26"/>
  <c r="E24" i="26"/>
  <c r="F24" i="26"/>
  <c r="G24" i="26"/>
  <c r="C24" i="26"/>
  <c r="S440" i="64" l="1"/>
  <c r="R439" i="64"/>
  <c r="R441" i="64" s="1"/>
  <c r="I383" i="64"/>
  <c r="I385" i="64" s="1"/>
  <c r="I386" i="64" s="1"/>
  <c r="S369" i="64"/>
  <c r="S368" i="64"/>
  <c r="S366" i="64"/>
  <c r="Q174" i="64"/>
  <c r="Q173" i="64"/>
  <c r="Q172" i="64"/>
  <c r="P190" i="64"/>
  <c r="O144" i="64"/>
  <c r="O81" i="64" s="1"/>
  <c r="P193" i="64"/>
  <c r="P192" i="64" s="1"/>
  <c r="P126" i="64"/>
  <c r="T240" i="64"/>
  <c r="T239" i="64" s="1"/>
  <c r="T481" i="64" s="1"/>
  <c r="Q176" i="64"/>
  <c r="O168" i="64"/>
  <c r="Q165" i="64"/>
  <c r="P343" i="64"/>
  <c r="H59" i="64"/>
  <c r="H62" i="64" s="1"/>
  <c r="H63" i="64" s="1"/>
  <c r="M282" i="64"/>
  <c r="Q175" i="64"/>
  <c r="O230" i="64"/>
  <c r="O231" i="64" s="1"/>
  <c r="O306" i="64"/>
  <c r="O135" i="64"/>
  <c r="O137" i="64" s="1"/>
  <c r="O140" i="64" s="1"/>
  <c r="S18" i="64"/>
  <c r="T17" i="64" s="1"/>
  <c r="P131" i="64"/>
  <c r="F56" i="64"/>
  <c r="N507" i="64"/>
  <c r="N328" i="64"/>
  <c r="N39" i="64" s="1"/>
  <c r="J381" i="64"/>
  <c r="K395" i="64"/>
  <c r="J382" i="64"/>
  <c r="P253" i="64"/>
  <c r="P256" i="64" s="1"/>
  <c r="P259" i="64" s="1"/>
  <c r="Q178" i="64"/>
  <c r="I422" i="64"/>
  <c r="Q12" i="64"/>
  <c r="R11" i="64"/>
  <c r="Q481" i="64"/>
  <c r="Q88" i="64"/>
  <c r="J359" i="64"/>
  <c r="J362" i="64" s="1"/>
  <c r="P517" i="64"/>
  <c r="Q402" i="64"/>
  <c r="P403" i="64"/>
  <c r="P116" i="64" s="1"/>
  <c r="R262" i="64"/>
  <c r="R370" i="64"/>
  <c r="S26" i="64"/>
  <c r="O494" i="64"/>
  <c r="O502" i="64" s="1"/>
  <c r="P445" i="64"/>
  <c r="O98" i="64"/>
  <c r="R29" i="64"/>
  <c r="M264" i="64"/>
  <c r="L315" i="64"/>
  <c r="L266" i="64"/>
  <c r="L267" i="64" s="1"/>
  <c r="N281" i="64"/>
  <c r="N279" i="64"/>
  <c r="M93" i="64"/>
  <c r="Q441" i="64"/>
  <c r="T285" i="64"/>
  <c r="T288" i="64" s="1"/>
  <c r="U228" i="64"/>
  <c r="O475" i="64"/>
  <c r="O80" i="64"/>
  <c r="O263" i="64"/>
  <c r="P181" i="64"/>
  <c r="N210" i="64"/>
  <c r="N106" i="64" s="1"/>
  <c r="P428" i="64"/>
  <c r="P516" i="64"/>
  <c r="P455" i="64"/>
  <c r="P518" i="64" s="1"/>
  <c r="P399" i="64"/>
  <c r="Q398" i="64"/>
  <c r="Q250" i="64"/>
  <c r="R249" i="64"/>
  <c r="L85" i="64"/>
  <c r="L183" i="64"/>
  <c r="L478" i="64" s="1"/>
  <c r="P129" i="64"/>
  <c r="I411" i="64"/>
  <c r="I413" i="64" s="1"/>
  <c r="I412" i="64" s="1"/>
  <c r="H386" i="64"/>
  <c r="H52" i="64" s="1"/>
  <c r="H54" i="64" s="1"/>
  <c r="H57" i="64" s="1"/>
  <c r="S23" i="64"/>
  <c r="T22" i="64"/>
  <c r="P427" i="64"/>
  <c r="N110" i="64"/>
  <c r="R510" i="64"/>
  <c r="R467" i="64"/>
  <c r="R109" i="64" s="1"/>
  <c r="J408" i="64"/>
  <c r="J420" i="64"/>
  <c r="J421" i="64" s="1"/>
  <c r="R20" i="64"/>
  <c r="S19" i="64"/>
  <c r="S21" i="64" s="1"/>
  <c r="Q27" i="64"/>
  <c r="Q191" i="64" s="1"/>
  <c r="O130" i="64"/>
  <c r="O132" i="64" s="1"/>
  <c r="P125" i="64"/>
  <c r="Q450" i="64"/>
  <c r="P127" i="64"/>
  <c r="P352" i="64"/>
  <c r="Q459" i="64"/>
  <c r="P128" i="64"/>
  <c r="O278" i="64"/>
  <c r="R157" i="64"/>
  <c r="R148" i="64"/>
  <c r="P14" i="64"/>
  <c r="P304" i="64" s="1"/>
  <c r="Q13" i="64"/>
  <c r="P166" i="64"/>
  <c r="P167" i="64" s="1"/>
  <c r="P15" i="64"/>
  <c r="P323" i="64"/>
  <c r="P297" i="64"/>
  <c r="P280" i="64"/>
  <c r="P293" i="64"/>
  <c r="P233" i="64"/>
  <c r="P229" i="64" s="1"/>
  <c r="P139" i="64"/>
  <c r="P143" i="64"/>
  <c r="P384" i="64"/>
  <c r="P301" i="64"/>
  <c r="P326" i="64"/>
  <c r="P327" i="64" s="1"/>
  <c r="P289" i="64"/>
  <c r="P318" i="64" s="1"/>
  <c r="P136" i="64"/>
  <c r="P331" i="64"/>
  <c r="P512" i="64" s="1"/>
  <c r="L373" i="64"/>
  <c r="K348" i="64"/>
  <c r="K349" i="64" s="1"/>
  <c r="K357" i="64"/>
  <c r="K358" i="64" s="1"/>
  <c r="K406" i="64"/>
  <c r="K407" i="64" s="1"/>
  <c r="N177" i="64"/>
  <c r="O171" i="64"/>
  <c r="I363" i="64"/>
  <c r="P487" i="64"/>
  <c r="P96" i="64"/>
  <c r="G56" i="64"/>
  <c r="O152" i="64"/>
  <c r="O332" i="64"/>
  <c r="O114" i="64"/>
  <c r="O515" i="64"/>
  <c r="O324" i="64"/>
  <c r="S225" i="64"/>
  <c r="Q470" i="64"/>
  <c r="P471" i="64"/>
  <c r="U248" i="64"/>
  <c r="R481" i="64"/>
  <c r="R88" i="64"/>
  <c r="P426" i="64"/>
  <c r="O429" i="64"/>
  <c r="O209" i="64"/>
  <c r="P361" i="64"/>
  <c r="N153" i="64"/>
  <c r="P461" i="64"/>
  <c r="O462" i="64"/>
  <c r="J350" i="64"/>
  <c r="J353" i="64" s="1"/>
  <c r="J335" i="64"/>
  <c r="J336" i="64" s="1"/>
  <c r="O456" i="64"/>
  <c r="O117" i="64" s="1"/>
  <c r="O115" i="64"/>
  <c r="M185" i="64"/>
  <c r="M188" i="64" s="1"/>
  <c r="M179" i="64"/>
  <c r="M182" i="64" s="1"/>
  <c r="I337" i="64"/>
  <c r="R322" i="64"/>
  <c r="M342" i="64"/>
  <c r="N342" i="64" s="1"/>
  <c r="L449" i="64"/>
  <c r="Q184" i="64"/>
  <c r="S88" i="64"/>
  <c r="S481" i="64"/>
  <c r="N307" i="64"/>
  <c r="N314" i="64"/>
  <c r="K193" i="61"/>
  <c r="J193" i="61"/>
  <c r="I193" i="61"/>
  <c r="H193" i="61"/>
  <c r="G193" i="61"/>
  <c r="F193" i="61"/>
  <c r="E193" i="61"/>
  <c r="D193" i="61"/>
  <c r="K192" i="61"/>
  <c r="J192" i="61"/>
  <c r="I192" i="61"/>
  <c r="H192" i="61"/>
  <c r="G192" i="61"/>
  <c r="F192" i="61"/>
  <c r="E192" i="61"/>
  <c r="D192" i="61"/>
  <c r="K191" i="61"/>
  <c r="J191" i="61"/>
  <c r="I191" i="61"/>
  <c r="H191" i="61"/>
  <c r="G191" i="61"/>
  <c r="F191" i="61"/>
  <c r="E191" i="61"/>
  <c r="D191" i="61"/>
  <c r="K190" i="61"/>
  <c r="J190" i="61"/>
  <c r="I190" i="61"/>
  <c r="H190" i="61"/>
  <c r="G190" i="61"/>
  <c r="F190" i="61"/>
  <c r="E190" i="61"/>
  <c r="D190" i="61"/>
  <c r="K31" i="61"/>
  <c r="J31" i="61"/>
  <c r="I31" i="61"/>
  <c r="H31" i="61"/>
  <c r="G31" i="61"/>
  <c r="F31" i="61"/>
  <c r="E31" i="61"/>
  <c r="D31" i="61"/>
  <c r="K29" i="61"/>
  <c r="J29" i="61"/>
  <c r="I29" i="61"/>
  <c r="H29" i="61"/>
  <c r="G29" i="61"/>
  <c r="F29" i="61"/>
  <c r="E29" i="61"/>
  <c r="D29" i="61"/>
  <c r="K27" i="61"/>
  <c r="J27" i="61"/>
  <c r="I27" i="61"/>
  <c r="H27" i="61"/>
  <c r="G27" i="61"/>
  <c r="F27" i="61"/>
  <c r="E27" i="61"/>
  <c r="D27" i="61"/>
  <c r="K26" i="61"/>
  <c r="J26" i="61"/>
  <c r="I26" i="61"/>
  <c r="H26" i="61"/>
  <c r="G26" i="61"/>
  <c r="F26" i="61"/>
  <c r="E26" i="61"/>
  <c r="D26" i="61"/>
  <c r="K25" i="61"/>
  <c r="J25" i="61"/>
  <c r="I25" i="61"/>
  <c r="H25" i="61"/>
  <c r="G25" i="61"/>
  <c r="F25" i="61"/>
  <c r="E25" i="61"/>
  <c r="D25" i="61"/>
  <c r="K24" i="61"/>
  <c r="J24" i="61"/>
  <c r="I24" i="61"/>
  <c r="H24" i="61"/>
  <c r="G24" i="61"/>
  <c r="F24" i="61"/>
  <c r="E24" i="61"/>
  <c r="D24" i="61"/>
  <c r="K22" i="61"/>
  <c r="J22" i="61"/>
  <c r="I22" i="61"/>
  <c r="H22" i="61"/>
  <c r="G22" i="61"/>
  <c r="F22" i="61"/>
  <c r="E22" i="61"/>
  <c r="D22" i="61"/>
  <c r="K19" i="61"/>
  <c r="J19" i="61"/>
  <c r="I19" i="61"/>
  <c r="H19" i="61"/>
  <c r="G19" i="61"/>
  <c r="F19" i="61"/>
  <c r="E19" i="61"/>
  <c r="D19" i="61"/>
  <c r="K17" i="61"/>
  <c r="J17" i="61"/>
  <c r="I17" i="61"/>
  <c r="H17" i="61"/>
  <c r="G17" i="61"/>
  <c r="F17" i="61"/>
  <c r="E17" i="61"/>
  <c r="D17" i="61"/>
  <c r="K13" i="61"/>
  <c r="J13" i="61"/>
  <c r="I13" i="61"/>
  <c r="H13" i="61"/>
  <c r="G13" i="61"/>
  <c r="F13" i="61"/>
  <c r="E13" i="61"/>
  <c r="D13" i="61"/>
  <c r="K11" i="61"/>
  <c r="J11" i="61"/>
  <c r="I11" i="61"/>
  <c r="H11" i="61"/>
  <c r="G11" i="61"/>
  <c r="F11" i="61"/>
  <c r="E11" i="61"/>
  <c r="D11" i="61"/>
  <c r="S438" i="64" l="1"/>
  <c r="T440" i="64"/>
  <c r="U440" i="64" s="1"/>
  <c r="T369" i="64"/>
  <c r="T368" i="64"/>
  <c r="T366" i="64"/>
  <c r="Q190" i="64"/>
  <c r="Q126" i="64"/>
  <c r="T88" i="64"/>
  <c r="P168" i="64"/>
  <c r="U240" i="64"/>
  <c r="U239" i="64" s="1"/>
  <c r="U88" i="64" s="1"/>
  <c r="Q193" i="64"/>
  <c r="Q192" i="64" s="1"/>
  <c r="N282" i="64"/>
  <c r="N93" i="64"/>
  <c r="R165" i="64"/>
  <c r="Q427" i="64"/>
  <c r="I59" i="64"/>
  <c r="I62" i="64" s="1"/>
  <c r="I63" i="64" s="1"/>
  <c r="O153" i="64"/>
  <c r="R487" i="64"/>
  <c r="R96" i="64"/>
  <c r="H56" i="64"/>
  <c r="P230" i="64"/>
  <c r="P231" i="64" s="1"/>
  <c r="T18" i="64"/>
  <c r="U17" i="64" s="1"/>
  <c r="J411" i="64"/>
  <c r="J413" i="64" s="1"/>
  <c r="J412" i="64" s="1"/>
  <c r="M85" i="64"/>
  <c r="M183" i="64"/>
  <c r="M478" i="64" s="1"/>
  <c r="O110" i="64"/>
  <c r="O41" i="64"/>
  <c r="L349" i="64"/>
  <c r="L69" i="64"/>
  <c r="K335" i="64"/>
  <c r="K336" i="64" s="1"/>
  <c r="P332" i="64"/>
  <c r="S148" i="64"/>
  <c r="S157" i="64"/>
  <c r="Q343" i="64"/>
  <c r="J422" i="64"/>
  <c r="P494" i="64"/>
  <c r="P502" i="64" s="1"/>
  <c r="Q445" i="64"/>
  <c r="P98" i="64"/>
  <c r="R12" i="64"/>
  <c r="S11" i="64"/>
  <c r="O342" i="64"/>
  <c r="I354" i="64"/>
  <c r="I52" i="64" s="1"/>
  <c r="I54" i="64" s="1"/>
  <c r="I57" i="64" s="1"/>
  <c r="N185" i="64"/>
  <c r="N188" i="64" s="1"/>
  <c r="N179" i="64"/>
  <c r="N182" i="64" s="1"/>
  <c r="P130" i="64"/>
  <c r="P132" i="64" s="1"/>
  <c r="Q125" i="64"/>
  <c r="U22" i="64"/>
  <c r="U23" i="64" s="1"/>
  <c r="T23" i="64"/>
  <c r="Q181" i="64"/>
  <c r="P263" i="64"/>
  <c r="U285" i="64"/>
  <c r="U288" i="64" s="1"/>
  <c r="Q487" i="64"/>
  <c r="Q96" i="64"/>
  <c r="S262" i="64"/>
  <c r="S370" i="64"/>
  <c r="K381" i="64"/>
  <c r="L395" i="64"/>
  <c r="K382" i="64"/>
  <c r="L382" i="64" s="1"/>
  <c r="M382" i="64" s="1"/>
  <c r="N382" i="64" s="1"/>
  <c r="O382" i="64" s="1"/>
  <c r="P382" i="64" s="1"/>
  <c r="Q382" i="64" s="1"/>
  <c r="P306" i="64"/>
  <c r="P135" i="64"/>
  <c r="P137" i="64" s="1"/>
  <c r="P140" i="64" s="1"/>
  <c r="J354" i="64"/>
  <c r="L414" i="64"/>
  <c r="K420" i="64"/>
  <c r="K421" i="64" s="1"/>
  <c r="Q428" i="64"/>
  <c r="L317" i="64"/>
  <c r="L197" i="64" s="1"/>
  <c r="T26" i="64"/>
  <c r="Q253" i="64"/>
  <c r="Q256" i="64" s="1"/>
  <c r="Q259" i="64" s="1"/>
  <c r="J383" i="64"/>
  <c r="J385" i="64" s="1"/>
  <c r="L474" i="64"/>
  <c r="M449" i="64"/>
  <c r="Q471" i="64"/>
  <c r="O177" i="64"/>
  <c r="P171" i="64"/>
  <c r="P475" i="64"/>
  <c r="P80" i="64"/>
  <c r="Q128" i="64"/>
  <c r="P278" i="64"/>
  <c r="N264" i="64"/>
  <c r="M315" i="64"/>
  <c r="M266" i="64"/>
  <c r="M267" i="64" s="1"/>
  <c r="Q517" i="64"/>
  <c r="Q403" i="64"/>
  <c r="Q116" i="64" s="1"/>
  <c r="J363" i="64"/>
  <c r="J337" i="64"/>
  <c r="Q461" i="64"/>
  <c r="Q462" i="64" s="1"/>
  <c r="P462" i="64"/>
  <c r="O507" i="64"/>
  <c r="O328" i="64"/>
  <c r="O39" i="64" s="1"/>
  <c r="M373" i="64"/>
  <c r="N373" i="64" s="1"/>
  <c r="O373" i="64" s="1"/>
  <c r="P373" i="64" s="1"/>
  <c r="Q373" i="64" s="1"/>
  <c r="R373" i="64" s="1"/>
  <c r="L448" i="64"/>
  <c r="P114" i="64"/>
  <c r="P515" i="64"/>
  <c r="P324" i="64"/>
  <c r="Q15" i="64"/>
  <c r="Q280" i="64"/>
  <c r="Q14" i="64"/>
  <c r="Q304" i="64" s="1"/>
  <c r="Q331" i="64"/>
  <c r="Q512" i="64" s="1"/>
  <c r="Q323" i="64"/>
  <c r="Q293" i="64"/>
  <c r="Q289" i="64"/>
  <c r="Q318" i="64" s="1"/>
  <c r="Q166" i="64"/>
  <c r="Q167" i="64" s="1"/>
  <c r="Q136" i="64"/>
  <c r="Q297" i="64"/>
  <c r="Q143" i="64"/>
  <c r="Q326" i="64"/>
  <c r="Q327" i="64" s="1"/>
  <c r="Q233" i="64"/>
  <c r="Q229" i="64" s="1"/>
  <c r="Q301" i="64"/>
  <c r="Q139" i="64"/>
  <c r="Q384" i="64"/>
  <c r="R30" i="64"/>
  <c r="R398" i="64" s="1"/>
  <c r="O210" i="64"/>
  <c r="O106" i="64" s="1"/>
  <c r="P152" i="64"/>
  <c r="Q511" i="64"/>
  <c r="S20" i="64"/>
  <c r="T19" i="64"/>
  <c r="Q516" i="64"/>
  <c r="Q455" i="64"/>
  <c r="Q518" i="64" s="1"/>
  <c r="Q399" i="64"/>
  <c r="R184" i="64"/>
  <c r="S322" i="64"/>
  <c r="Q361" i="64"/>
  <c r="Q426" i="64"/>
  <c r="P429" i="64"/>
  <c r="P209" i="64"/>
  <c r="T225" i="64"/>
  <c r="L358" i="64"/>
  <c r="M358" i="64" s="1"/>
  <c r="N358" i="64" s="1"/>
  <c r="O358" i="64" s="1"/>
  <c r="P358" i="64" s="1"/>
  <c r="Q358" i="64" s="1"/>
  <c r="P144" i="64"/>
  <c r="P81" i="64" s="1"/>
  <c r="S439" i="64"/>
  <c r="S441" i="64" s="1"/>
  <c r="O279" i="64"/>
  <c r="O281" i="64"/>
  <c r="Q352" i="64"/>
  <c r="Q127" i="64"/>
  <c r="S510" i="64"/>
  <c r="S467" i="64"/>
  <c r="S109" i="64" s="1"/>
  <c r="Q129" i="64"/>
  <c r="S249" i="64"/>
  <c r="R250" i="64"/>
  <c r="P456" i="64"/>
  <c r="P117" i="64" s="1"/>
  <c r="P115" i="64"/>
  <c r="Q131" i="64"/>
  <c r="O307" i="64"/>
  <c r="O314" i="64"/>
  <c r="C1" i="61"/>
  <c r="U437" i="61" l="1"/>
  <c r="Q437" i="61"/>
  <c r="S436" i="61"/>
  <c r="O436" i="61"/>
  <c r="R435" i="61"/>
  <c r="N435" i="61"/>
  <c r="R434" i="61"/>
  <c r="N434" i="61"/>
  <c r="S433" i="61"/>
  <c r="O433" i="61"/>
  <c r="T432" i="61"/>
  <c r="P432" i="61"/>
  <c r="L432" i="61"/>
  <c r="S437" i="61"/>
  <c r="U436" i="61"/>
  <c r="Q436" i="61"/>
  <c r="P435" i="61"/>
  <c r="T434" i="61"/>
  <c r="U433" i="61"/>
  <c r="M433" i="61"/>
  <c r="N432" i="61"/>
  <c r="R437" i="61"/>
  <c r="T436" i="61"/>
  <c r="P436" i="61"/>
  <c r="O435" i="61"/>
  <c r="S434" i="61"/>
  <c r="O434" i="61"/>
  <c r="P433" i="61"/>
  <c r="Q432" i="61"/>
  <c r="T437" i="61"/>
  <c r="P437" i="61"/>
  <c r="R436" i="61"/>
  <c r="U435" i="61"/>
  <c r="Q435" i="61"/>
  <c r="U434" i="61"/>
  <c r="Q434" i="61"/>
  <c r="M434" i="61"/>
  <c r="R433" i="61"/>
  <c r="N433" i="61"/>
  <c r="S432" i="61"/>
  <c r="O432" i="61"/>
  <c r="T435" i="61"/>
  <c r="P434" i="61"/>
  <c r="Q433" i="61"/>
  <c r="R432" i="61"/>
  <c r="S435" i="61"/>
  <c r="T433" i="61"/>
  <c r="U432" i="61"/>
  <c r="M432" i="61"/>
  <c r="L436" i="61"/>
  <c r="M436" i="61" s="1"/>
  <c r="N436" i="61" s="1"/>
  <c r="L435" i="61"/>
  <c r="M435" i="61" s="1"/>
  <c r="L437" i="61"/>
  <c r="M437" i="61" s="1"/>
  <c r="N437" i="61" s="1"/>
  <c r="O437" i="61" s="1"/>
  <c r="L434" i="61"/>
  <c r="L433" i="61"/>
  <c r="U438" i="64"/>
  <c r="U439" i="64" s="1"/>
  <c r="T438" i="64"/>
  <c r="T439" i="64" s="1"/>
  <c r="T441" i="64" s="1"/>
  <c r="S180" i="61"/>
  <c r="O180" i="61"/>
  <c r="U180" i="61"/>
  <c r="Q180" i="61"/>
  <c r="M180" i="61"/>
  <c r="T180" i="61"/>
  <c r="P180" i="61"/>
  <c r="L180" i="61"/>
  <c r="R180" i="61"/>
  <c r="N180" i="61"/>
  <c r="K383" i="64"/>
  <c r="K385" i="64" s="1"/>
  <c r="L385" i="64" s="1"/>
  <c r="M385" i="64" s="1"/>
  <c r="N385" i="64" s="1"/>
  <c r="O385" i="64" s="1"/>
  <c r="P385" i="64" s="1"/>
  <c r="Q385" i="64" s="1"/>
  <c r="Q168" i="64"/>
  <c r="U369" i="64"/>
  <c r="U368" i="64"/>
  <c r="U366" i="64"/>
  <c r="R174" i="64"/>
  <c r="R173" i="64"/>
  <c r="R172" i="64"/>
  <c r="U481" i="64"/>
  <c r="P153" i="64"/>
  <c r="O282" i="64"/>
  <c r="Q144" i="64"/>
  <c r="Q81" i="64" s="1"/>
  <c r="P342" i="64"/>
  <c r="K359" i="64"/>
  <c r="S165" i="64"/>
  <c r="Q230" i="64"/>
  <c r="Q231" i="64" s="1"/>
  <c r="T510" i="64"/>
  <c r="T467" i="64"/>
  <c r="T109" i="64" s="1"/>
  <c r="S487" i="64"/>
  <c r="S96" i="64"/>
  <c r="R516" i="64"/>
  <c r="R399" i="64"/>
  <c r="T20" i="64"/>
  <c r="U19" i="64"/>
  <c r="U20" i="64" s="1"/>
  <c r="Q110" i="64"/>
  <c r="R27" i="64"/>
  <c r="R191" i="64" s="1"/>
  <c r="R175" i="64"/>
  <c r="R176" i="64"/>
  <c r="Q306" i="64"/>
  <c r="Q135" i="64"/>
  <c r="Q137" i="64" s="1"/>
  <c r="Q140" i="64" s="1"/>
  <c r="N183" i="64"/>
  <c r="N478" i="64" s="1"/>
  <c r="N85" i="64"/>
  <c r="K337" i="64"/>
  <c r="U18" i="64"/>
  <c r="U21" i="64"/>
  <c r="Q456" i="64"/>
  <c r="Q117" i="64" s="1"/>
  <c r="Q115" i="64"/>
  <c r="O93" i="64"/>
  <c r="P507" i="64"/>
  <c r="P328" i="64"/>
  <c r="P39" i="64" s="1"/>
  <c r="P110" i="64"/>
  <c r="P281" i="64"/>
  <c r="P279" i="64"/>
  <c r="R470" i="64"/>
  <c r="Q263" i="64"/>
  <c r="L376" i="64"/>
  <c r="S250" i="64"/>
  <c r="T249" i="64"/>
  <c r="Q429" i="64"/>
  <c r="Q209" i="64"/>
  <c r="S184" i="64"/>
  <c r="Q332" i="64"/>
  <c r="Q278" i="64"/>
  <c r="P177" i="64"/>
  <c r="Q171" i="64"/>
  <c r="R178" i="64"/>
  <c r="U26" i="64"/>
  <c r="L421" i="64"/>
  <c r="T370" i="64"/>
  <c r="T262" i="64"/>
  <c r="I56" i="64"/>
  <c r="R450" i="64"/>
  <c r="L493" i="64"/>
  <c r="M349" i="64"/>
  <c r="T21" i="64"/>
  <c r="T322" i="64"/>
  <c r="L203" i="64"/>
  <c r="L417" i="64"/>
  <c r="R13" i="64"/>
  <c r="R128" i="64" s="1"/>
  <c r="J59" i="64"/>
  <c r="J62" i="64" s="1"/>
  <c r="J63" i="64" s="1"/>
  <c r="R402" i="64"/>
  <c r="R455" i="64" s="1"/>
  <c r="R518" i="64" s="1"/>
  <c r="O264" i="64"/>
  <c r="N315" i="64"/>
  <c r="N266" i="64"/>
  <c r="N267" i="64" s="1"/>
  <c r="L79" i="64"/>
  <c r="Q130" i="64"/>
  <c r="P210" i="64"/>
  <c r="P106" i="64" s="1"/>
  <c r="M448" i="64"/>
  <c r="L451" i="64"/>
  <c r="L341" i="64"/>
  <c r="L319" i="64"/>
  <c r="P307" i="64"/>
  <c r="P314" i="64"/>
  <c r="T148" i="64"/>
  <c r="T157" i="64"/>
  <c r="U225" i="64"/>
  <c r="Q475" i="64"/>
  <c r="Q80" i="64"/>
  <c r="S373" i="64"/>
  <c r="M317" i="64"/>
  <c r="M319" i="64" s="1"/>
  <c r="R459" i="64"/>
  <c r="Q152" i="64"/>
  <c r="S29" i="64"/>
  <c r="Q114" i="64"/>
  <c r="Q515" i="64"/>
  <c r="Q324" i="64"/>
  <c r="O179" i="64"/>
  <c r="O182" i="64" s="1"/>
  <c r="O185" i="64"/>
  <c r="O188" i="64" s="1"/>
  <c r="N449" i="64"/>
  <c r="M474" i="64"/>
  <c r="K408" i="64"/>
  <c r="L381" i="64"/>
  <c r="M395" i="64"/>
  <c r="S12" i="64"/>
  <c r="T11" i="64"/>
  <c r="Q494" i="64"/>
  <c r="Q502" i="64" s="1"/>
  <c r="Q98" i="64"/>
  <c r="P41" i="64"/>
  <c r="K350" i="64"/>
  <c r="K353" i="64" s="1"/>
  <c r="B209" i="61"/>
  <c r="U322" i="64" l="1"/>
  <c r="K386" i="64"/>
  <c r="K362" i="64"/>
  <c r="L362" i="64" s="1"/>
  <c r="M362" i="64" s="1"/>
  <c r="N362" i="64" s="1"/>
  <c r="O362" i="64" s="1"/>
  <c r="P362" i="64" s="1"/>
  <c r="Q362" i="64" s="1"/>
  <c r="R362" i="64" s="1"/>
  <c r="S362" i="64" s="1"/>
  <c r="T362" i="64" s="1"/>
  <c r="U362" i="64" s="1"/>
  <c r="R461" i="64"/>
  <c r="R462" i="64" s="1"/>
  <c r="T373" i="64"/>
  <c r="R382" i="64"/>
  <c r="R181" i="64"/>
  <c r="R263" i="64" s="1"/>
  <c r="P282" i="64"/>
  <c r="R445" i="64"/>
  <c r="R494" i="64" s="1"/>
  <c r="R502" i="64" s="1"/>
  <c r="U441" i="64"/>
  <c r="U96" i="64" s="1"/>
  <c r="T165" i="64"/>
  <c r="R127" i="64"/>
  <c r="R278" i="64"/>
  <c r="L484" i="64"/>
  <c r="L73" i="64"/>
  <c r="L216" i="64"/>
  <c r="L199" i="64"/>
  <c r="N317" i="64"/>
  <c r="N319" i="64" s="1"/>
  <c r="P185" i="64"/>
  <c r="P188" i="64" s="1"/>
  <c r="P179" i="64"/>
  <c r="P182" i="64" s="1"/>
  <c r="Q41" i="64"/>
  <c r="K411" i="64"/>
  <c r="K413" i="64" s="1"/>
  <c r="K412" i="64" s="1"/>
  <c r="T487" i="64"/>
  <c r="T96" i="64"/>
  <c r="U157" i="64"/>
  <c r="U148" i="64"/>
  <c r="L485" i="64"/>
  <c r="L423" i="64"/>
  <c r="L95" i="64" s="1"/>
  <c r="M421" i="64"/>
  <c r="Q281" i="64"/>
  <c r="Q279" i="64"/>
  <c r="L353" i="64"/>
  <c r="M353" i="64" s="1"/>
  <c r="N353" i="64" s="1"/>
  <c r="O353" i="64" s="1"/>
  <c r="P353" i="64" s="1"/>
  <c r="Q353" i="64" s="1"/>
  <c r="R353" i="64" s="1"/>
  <c r="S353" i="64" s="1"/>
  <c r="T353" i="64" s="1"/>
  <c r="U353" i="64" s="1"/>
  <c r="T12" i="64"/>
  <c r="U11" i="64"/>
  <c r="U12" i="64" s="1"/>
  <c r="R428" i="64"/>
  <c r="O183" i="64"/>
  <c r="O478" i="64" s="1"/>
  <c r="O85" i="64"/>
  <c r="R361" i="64"/>
  <c r="R129" i="64"/>
  <c r="L519" i="64"/>
  <c r="L452" i="64"/>
  <c r="L118" i="64" s="1"/>
  <c r="L61" i="64"/>
  <c r="P93" i="64"/>
  <c r="P264" i="64"/>
  <c r="O315" i="64"/>
  <c r="O266" i="64"/>
  <c r="O267" i="64" s="1"/>
  <c r="R131" i="64"/>
  <c r="R343" i="64"/>
  <c r="K422" i="64"/>
  <c r="K59" i="64" s="1"/>
  <c r="K62" i="64" s="1"/>
  <c r="K63" i="64" s="1"/>
  <c r="Q153" i="64"/>
  <c r="Q210" i="64"/>
  <c r="Q106" i="64" s="1"/>
  <c r="T250" i="64"/>
  <c r="U249" i="64"/>
  <c r="U250" i="64" s="1"/>
  <c r="R190" i="64"/>
  <c r="U510" i="64"/>
  <c r="U467" i="64"/>
  <c r="U109" i="64" s="1"/>
  <c r="N474" i="64"/>
  <c r="O449" i="64"/>
  <c r="Q507" i="64"/>
  <c r="Q328" i="64"/>
  <c r="Q39" i="64" s="1"/>
  <c r="L205" i="64"/>
  <c r="L204" i="64"/>
  <c r="M493" i="64"/>
  <c r="N349" i="64"/>
  <c r="Q307" i="64"/>
  <c r="Q314" i="64"/>
  <c r="R115" i="64"/>
  <c r="R511" i="64"/>
  <c r="L344" i="64"/>
  <c r="L406" i="64"/>
  <c r="L335" i="64"/>
  <c r="L357" i="64"/>
  <c r="L359" i="64" s="1"/>
  <c r="L380" i="64"/>
  <c r="L383" i="64" s="1"/>
  <c r="L386" i="64" s="1"/>
  <c r="L348" i="64"/>
  <c r="L420" i="64"/>
  <c r="L422" i="64" s="1"/>
  <c r="R15" i="64"/>
  <c r="R14" i="64"/>
  <c r="R304" i="64" s="1"/>
  <c r="R323" i="64"/>
  <c r="R166" i="64"/>
  <c r="R167" i="64" s="1"/>
  <c r="R168" i="64" s="1"/>
  <c r="R139" i="64"/>
  <c r="R289" i="64"/>
  <c r="R318" i="64" s="1"/>
  <c r="R326" i="64"/>
  <c r="R327" i="64" s="1"/>
  <c r="R384" i="64"/>
  <c r="R385" i="64" s="1"/>
  <c r="R301" i="64"/>
  <c r="R331" i="64"/>
  <c r="R512" i="64" s="1"/>
  <c r="R233" i="64"/>
  <c r="R229" i="64" s="1"/>
  <c r="R143" i="64"/>
  <c r="R136" i="64"/>
  <c r="R280" i="64"/>
  <c r="R297" i="64"/>
  <c r="R293" i="64"/>
  <c r="R126" i="64"/>
  <c r="R427" i="64"/>
  <c r="L508" i="64"/>
  <c r="L513" i="64" s="1"/>
  <c r="L213" i="64"/>
  <c r="M196" i="64" s="1"/>
  <c r="Q132" i="64"/>
  <c r="U262" i="64"/>
  <c r="U370" i="64"/>
  <c r="R253" i="64"/>
  <c r="R256" i="64" s="1"/>
  <c r="R259" i="64" s="1"/>
  <c r="R471" i="64"/>
  <c r="M381" i="64"/>
  <c r="N395" i="64"/>
  <c r="M79" i="64"/>
  <c r="S30" i="64"/>
  <c r="S172" i="64" s="1"/>
  <c r="R358" i="64"/>
  <c r="M451" i="64"/>
  <c r="N448" i="64"/>
  <c r="M341" i="64"/>
  <c r="R352" i="64"/>
  <c r="R125" i="64"/>
  <c r="R517" i="64"/>
  <c r="R403" i="64"/>
  <c r="R116" i="64" s="1"/>
  <c r="Q177" i="64"/>
  <c r="T184" i="64"/>
  <c r="R426" i="64"/>
  <c r="J386" i="64"/>
  <c r="J52" i="64" s="1"/>
  <c r="J54" i="64" s="1"/>
  <c r="J57" i="64" s="1"/>
  <c r="L336" i="64"/>
  <c r="L149" i="64" s="1"/>
  <c r="L94" i="64" l="1"/>
  <c r="L477" i="64"/>
  <c r="K363" i="64"/>
  <c r="L363" i="64"/>
  <c r="S174" i="64"/>
  <c r="S173" i="64"/>
  <c r="U373" i="64"/>
  <c r="U487" i="64"/>
  <c r="R98" i="64"/>
  <c r="K354" i="64"/>
  <c r="Q282" i="64"/>
  <c r="R332" i="64"/>
  <c r="R41" i="64" s="1"/>
  <c r="M216" i="64"/>
  <c r="O448" i="64"/>
  <c r="N341" i="64"/>
  <c r="N451" i="64"/>
  <c r="S27" i="64"/>
  <c r="S191" i="64" s="1"/>
  <c r="S398" i="64"/>
  <c r="N381" i="64"/>
  <c r="O395" i="64"/>
  <c r="L514" i="64"/>
  <c r="L520" i="64" s="1"/>
  <c r="L345" i="64"/>
  <c r="S459" i="64"/>
  <c r="L215" i="64"/>
  <c r="M198" i="64" s="1"/>
  <c r="R193" i="64"/>
  <c r="R192" i="64" s="1"/>
  <c r="O317" i="64"/>
  <c r="O319" i="64" s="1"/>
  <c r="M485" i="64"/>
  <c r="M423" i="64"/>
  <c r="M95" i="64" s="1"/>
  <c r="N421" i="64"/>
  <c r="P183" i="64"/>
  <c r="P478" i="64" s="1"/>
  <c r="P85" i="64"/>
  <c r="J56" i="64"/>
  <c r="M519" i="64"/>
  <c r="M452" i="64"/>
  <c r="M118" i="64" s="1"/>
  <c r="M61" i="64"/>
  <c r="S178" i="64"/>
  <c r="Q342" i="64"/>
  <c r="S13" i="64"/>
  <c r="S427" i="64" s="1"/>
  <c r="Q93" i="64"/>
  <c r="R152" i="64"/>
  <c r="R153" i="64" s="1"/>
  <c r="L158" i="64"/>
  <c r="L150" i="64"/>
  <c r="L82" i="64"/>
  <c r="S402" i="64"/>
  <c r="R230" i="64"/>
  <c r="R114" i="64"/>
  <c r="R515" i="64"/>
  <c r="R324" i="64"/>
  <c r="L375" i="64"/>
  <c r="L337" i="64"/>
  <c r="L74" i="64"/>
  <c r="R110" i="64"/>
  <c r="L214" i="64"/>
  <c r="M197" i="64" s="1"/>
  <c r="Q264" i="64"/>
  <c r="P315" i="64"/>
  <c r="P266" i="64"/>
  <c r="P267" i="64" s="1"/>
  <c r="S175" i="64"/>
  <c r="U165" i="64"/>
  <c r="L479" i="64"/>
  <c r="R475" i="64"/>
  <c r="R80" i="64"/>
  <c r="N493" i="64"/>
  <c r="O349" i="64"/>
  <c r="N79" i="64"/>
  <c r="S450" i="64"/>
  <c r="R130" i="64"/>
  <c r="R132" i="64" s="1"/>
  <c r="M484" i="64"/>
  <c r="M73" i="64"/>
  <c r="R279" i="64"/>
  <c r="R281" i="64"/>
  <c r="R429" i="64"/>
  <c r="R209" i="64"/>
  <c r="L495" i="64"/>
  <c r="L496" i="64" s="1"/>
  <c r="M336" i="64"/>
  <c r="U184" i="64"/>
  <c r="Q185" i="64"/>
  <c r="Q188" i="64" s="1"/>
  <c r="Q179" i="64"/>
  <c r="Q182" i="64" s="1"/>
  <c r="M344" i="64"/>
  <c r="M514" i="64" s="1"/>
  <c r="T29" i="64"/>
  <c r="S470" i="64"/>
  <c r="L206" i="64"/>
  <c r="L105" i="64" s="1"/>
  <c r="R144" i="64"/>
  <c r="R81" i="64" s="1"/>
  <c r="R306" i="64"/>
  <c r="R135" i="64"/>
  <c r="R137" i="64" s="1"/>
  <c r="R140" i="64" s="1"/>
  <c r="L350" i="64"/>
  <c r="L354" i="64" s="1"/>
  <c r="M69" i="64"/>
  <c r="M406" i="64" s="1"/>
  <c r="L412" i="64"/>
  <c r="L413" i="64" s="1"/>
  <c r="L407" i="64" s="1"/>
  <c r="L408" i="64" s="1"/>
  <c r="L377" i="64"/>
  <c r="R456" i="64"/>
  <c r="R117" i="64" s="1"/>
  <c r="O474" i="64"/>
  <c r="P449" i="64"/>
  <c r="S176" i="64"/>
  <c r="M199" i="64"/>
  <c r="L200" i="64"/>
  <c r="F220" i="41"/>
  <c r="G220" i="41"/>
  <c r="H220" i="41"/>
  <c r="I220" i="41"/>
  <c r="J220" i="41"/>
  <c r="K220" i="41"/>
  <c r="L220" i="41"/>
  <c r="M220" i="41"/>
  <c r="N220" i="41"/>
  <c r="O220" i="41"/>
  <c r="P220" i="41"/>
  <c r="Q220" i="41"/>
  <c r="R220" i="41"/>
  <c r="S220" i="41"/>
  <c r="T220" i="41"/>
  <c r="U220" i="41"/>
  <c r="V220" i="41"/>
  <c r="W220" i="41"/>
  <c r="X220" i="41"/>
  <c r="Y220" i="41"/>
  <c r="Z220" i="41"/>
  <c r="AA220" i="41"/>
  <c r="AB220" i="41"/>
  <c r="AC220" i="41"/>
  <c r="AD220" i="41"/>
  <c r="AE220" i="41"/>
  <c r="AF220" i="41"/>
  <c r="AG220" i="41"/>
  <c r="AH220" i="41"/>
  <c r="AI220" i="41"/>
  <c r="AJ220" i="41"/>
  <c r="AK220" i="41"/>
  <c r="AL220" i="41"/>
  <c r="AM220" i="41"/>
  <c r="AN220" i="41"/>
  <c r="AO220" i="41"/>
  <c r="AP220" i="41"/>
  <c r="AQ220" i="41"/>
  <c r="AR220" i="41"/>
  <c r="AS220" i="41"/>
  <c r="AT220" i="41"/>
  <c r="AU220" i="41"/>
  <c r="AV220" i="41"/>
  <c r="AW220" i="41"/>
  <c r="AX220" i="41"/>
  <c r="AY220" i="41"/>
  <c r="AZ220" i="41"/>
  <c r="BA220" i="41"/>
  <c r="BB220" i="41"/>
  <c r="BC220" i="41"/>
  <c r="BD220" i="41"/>
  <c r="F221" i="41"/>
  <c r="G221" i="41"/>
  <c r="H221" i="41"/>
  <c r="I221" i="41"/>
  <c r="J221" i="41"/>
  <c r="K221" i="41"/>
  <c r="L221" i="41"/>
  <c r="M221" i="41"/>
  <c r="N221" i="41"/>
  <c r="O221" i="41"/>
  <c r="P221" i="41"/>
  <c r="Q221" i="41"/>
  <c r="R221" i="41"/>
  <c r="S221" i="41"/>
  <c r="T221" i="41"/>
  <c r="U221" i="41"/>
  <c r="V221" i="41"/>
  <c r="W221" i="41"/>
  <c r="X221" i="41"/>
  <c r="Y221" i="41"/>
  <c r="Z221" i="41"/>
  <c r="AA221" i="41"/>
  <c r="AB221" i="41"/>
  <c r="AC221" i="41"/>
  <c r="AD221" i="41"/>
  <c r="AE221" i="41"/>
  <c r="AF221" i="41"/>
  <c r="AG221" i="41"/>
  <c r="AH221" i="41"/>
  <c r="AI221" i="41"/>
  <c r="AJ221" i="41"/>
  <c r="AK221" i="41"/>
  <c r="AL221" i="41"/>
  <c r="AM221" i="41"/>
  <c r="AN221" i="41"/>
  <c r="AO221" i="41"/>
  <c r="AP221" i="41"/>
  <c r="AQ221" i="41"/>
  <c r="AR221" i="41"/>
  <c r="AS221" i="41"/>
  <c r="AT221" i="41"/>
  <c r="AU221" i="41"/>
  <c r="AV221" i="41"/>
  <c r="AW221" i="41"/>
  <c r="AX221" i="41"/>
  <c r="AY221" i="41"/>
  <c r="AZ221" i="41"/>
  <c r="BA221" i="41"/>
  <c r="BB221" i="41"/>
  <c r="BC221" i="41"/>
  <c r="BD221" i="41"/>
  <c r="F222" i="41"/>
  <c r="G222" i="41"/>
  <c r="H222" i="41"/>
  <c r="I222" i="41"/>
  <c r="J222" i="41"/>
  <c r="K222" i="41"/>
  <c r="L222" i="41"/>
  <c r="M222" i="41"/>
  <c r="N222" i="41"/>
  <c r="O222" i="41"/>
  <c r="P222" i="41"/>
  <c r="Q222" i="41"/>
  <c r="R222" i="41"/>
  <c r="S222" i="41"/>
  <c r="T222" i="41"/>
  <c r="U222" i="41"/>
  <c r="V222" i="41"/>
  <c r="W222" i="41"/>
  <c r="X222" i="41"/>
  <c r="Y222" i="41"/>
  <c r="Z222" i="41"/>
  <c r="AA222" i="41"/>
  <c r="AB222" i="41"/>
  <c r="AC222" i="41"/>
  <c r="AD222" i="41"/>
  <c r="AE222" i="41"/>
  <c r="AF222" i="41"/>
  <c r="AG222" i="41"/>
  <c r="AH222" i="41"/>
  <c r="AI222" i="41"/>
  <c r="AJ222" i="41"/>
  <c r="AK222" i="41"/>
  <c r="AL222" i="41"/>
  <c r="AM222" i="41"/>
  <c r="AN222" i="41"/>
  <c r="AO222" i="41"/>
  <c r="AP222" i="41"/>
  <c r="AQ222" i="41"/>
  <c r="AR222" i="41"/>
  <c r="AS222" i="41"/>
  <c r="AT222" i="41"/>
  <c r="AU222" i="41"/>
  <c r="AV222" i="41"/>
  <c r="AW222" i="41"/>
  <c r="AX222" i="41"/>
  <c r="AY222" i="41"/>
  <c r="AZ222" i="41"/>
  <c r="BA222" i="41"/>
  <c r="BB222" i="41"/>
  <c r="BC222" i="41"/>
  <c r="BD222" i="41"/>
  <c r="F223" i="41"/>
  <c r="G223" i="41"/>
  <c r="H223" i="41"/>
  <c r="I223" i="41"/>
  <c r="J223" i="41"/>
  <c r="K223" i="41"/>
  <c r="L223" i="41"/>
  <c r="M223" i="41"/>
  <c r="N223" i="41"/>
  <c r="O223" i="41"/>
  <c r="P223" i="41"/>
  <c r="Q223" i="41"/>
  <c r="R223" i="41"/>
  <c r="S223" i="41"/>
  <c r="T223" i="41"/>
  <c r="U223" i="41"/>
  <c r="V223" i="41"/>
  <c r="W223" i="41"/>
  <c r="X223" i="41"/>
  <c r="Y223" i="41"/>
  <c r="Z223" i="41"/>
  <c r="AA223" i="41"/>
  <c r="AB223" i="41"/>
  <c r="AC223" i="41"/>
  <c r="AD223" i="41"/>
  <c r="AE223" i="41"/>
  <c r="AF223" i="41"/>
  <c r="AG223" i="41"/>
  <c r="AH223" i="41"/>
  <c r="AI223" i="41"/>
  <c r="AJ223" i="41"/>
  <c r="AK223" i="41"/>
  <c r="AL223" i="41"/>
  <c r="AM223" i="41"/>
  <c r="AN223" i="41"/>
  <c r="AO223" i="41"/>
  <c r="AP223" i="41"/>
  <c r="AQ223" i="41"/>
  <c r="AR223" i="41"/>
  <c r="AS223" i="41"/>
  <c r="AT223" i="41"/>
  <c r="AU223" i="41"/>
  <c r="AV223" i="41"/>
  <c r="AW223" i="41"/>
  <c r="AX223" i="41"/>
  <c r="AY223" i="41"/>
  <c r="AZ223" i="41"/>
  <c r="BA223" i="41"/>
  <c r="BB223" i="41"/>
  <c r="BC223" i="41"/>
  <c r="BD223" i="41"/>
  <c r="F224" i="41"/>
  <c r="G224" i="41"/>
  <c r="H224" i="41"/>
  <c r="I224" i="41"/>
  <c r="J224" i="41"/>
  <c r="K224" i="41"/>
  <c r="L224" i="41"/>
  <c r="M224" i="41"/>
  <c r="N224" i="41"/>
  <c r="O224" i="41"/>
  <c r="P224" i="41"/>
  <c r="Q224" i="41"/>
  <c r="R224" i="41"/>
  <c r="S224" i="41"/>
  <c r="T224" i="41"/>
  <c r="U224" i="41"/>
  <c r="V224" i="41"/>
  <c r="W224" i="41"/>
  <c r="X224" i="41"/>
  <c r="Y224" i="41"/>
  <c r="Z224" i="41"/>
  <c r="AA224" i="41"/>
  <c r="AB224" i="41"/>
  <c r="AC224" i="41"/>
  <c r="AD224" i="41"/>
  <c r="AE224" i="41"/>
  <c r="AF224" i="41"/>
  <c r="AG224" i="41"/>
  <c r="AH224" i="41"/>
  <c r="AI224" i="41"/>
  <c r="AJ224" i="41"/>
  <c r="AK224" i="41"/>
  <c r="AL224" i="41"/>
  <c r="AM224" i="41"/>
  <c r="AN224" i="41"/>
  <c r="AO224" i="41"/>
  <c r="AP224" i="41"/>
  <c r="AQ224" i="41"/>
  <c r="AR224" i="41"/>
  <c r="AS224" i="41"/>
  <c r="AT224" i="41"/>
  <c r="AU224" i="41"/>
  <c r="AV224" i="41"/>
  <c r="AW224" i="41"/>
  <c r="AX224" i="41"/>
  <c r="AY224" i="41"/>
  <c r="AZ224" i="41"/>
  <c r="BA224" i="41"/>
  <c r="BB224" i="41"/>
  <c r="BC224" i="41"/>
  <c r="BD224" i="41"/>
  <c r="F225" i="41"/>
  <c r="G225" i="41"/>
  <c r="H225" i="41"/>
  <c r="I225" i="41"/>
  <c r="J225" i="41"/>
  <c r="K225" i="41"/>
  <c r="L225" i="41"/>
  <c r="M225" i="41"/>
  <c r="N225" i="41"/>
  <c r="O225" i="41"/>
  <c r="P225" i="41"/>
  <c r="Q225" i="41"/>
  <c r="R225" i="41"/>
  <c r="S225" i="41"/>
  <c r="T225" i="41"/>
  <c r="U225" i="41"/>
  <c r="V225" i="41"/>
  <c r="W225" i="41"/>
  <c r="X225" i="41"/>
  <c r="Y225" i="41"/>
  <c r="Z225" i="41"/>
  <c r="AA225" i="41"/>
  <c r="AB225" i="41"/>
  <c r="AC225" i="41"/>
  <c r="AD225" i="41"/>
  <c r="AE225" i="41"/>
  <c r="AF225" i="41"/>
  <c r="AG225" i="41"/>
  <c r="AH225" i="41"/>
  <c r="AI225" i="41"/>
  <c r="AJ225" i="41"/>
  <c r="AK225" i="41"/>
  <c r="AL225" i="41"/>
  <c r="AM225" i="41"/>
  <c r="AN225" i="41"/>
  <c r="AO225" i="41"/>
  <c r="AP225" i="41"/>
  <c r="AQ225" i="41"/>
  <c r="AR225" i="41"/>
  <c r="AS225" i="41"/>
  <c r="AT225" i="41"/>
  <c r="AU225" i="41"/>
  <c r="AV225" i="41"/>
  <c r="AW225" i="41"/>
  <c r="AX225" i="41"/>
  <c r="AY225" i="41"/>
  <c r="AZ225" i="41"/>
  <c r="BA225" i="41"/>
  <c r="BB225" i="41"/>
  <c r="BC225" i="41"/>
  <c r="BD225" i="41"/>
  <c r="F226" i="41"/>
  <c r="G226" i="41"/>
  <c r="H226" i="41"/>
  <c r="I226" i="41"/>
  <c r="J226" i="41"/>
  <c r="K226" i="41"/>
  <c r="L226" i="41"/>
  <c r="M226" i="41"/>
  <c r="N226" i="41"/>
  <c r="O226" i="41"/>
  <c r="P226" i="41"/>
  <c r="Q226" i="41"/>
  <c r="R226" i="41"/>
  <c r="S226" i="41"/>
  <c r="T226" i="41"/>
  <c r="U226" i="41"/>
  <c r="V226" i="41"/>
  <c r="W226" i="41"/>
  <c r="X226" i="41"/>
  <c r="Y226" i="41"/>
  <c r="Z226" i="41"/>
  <c r="AA226" i="41"/>
  <c r="AB226" i="41"/>
  <c r="AC226" i="41"/>
  <c r="AD226" i="41"/>
  <c r="AE226" i="41"/>
  <c r="AF226" i="41"/>
  <c r="AG226" i="41"/>
  <c r="AH226" i="41"/>
  <c r="AI226" i="41"/>
  <c r="AJ226" i="41"/>
  <c r="AK226" i="41"/>
  <c r="AL226" i="41"/>
  <c r="AM226" i="41"/>
  <c r="AN226" i="41"/>
  <c r="AO226" i="41"/>
  <c r="AP226" i="41"/>
  <c r="AQ226" i="41"/>
  <c r="AR226" i="41"/>
  <c r="AS226" i="41"/>
  <c r="AT226" i="41"/>
  <c r="AU226" i="41"/>
  <c r="AV226" i="41"/>
  <c r="AW226" i="41"/>
  <c r="AX226" i="41"/>
  <c r="AY226" i="41"/>
  <c r="AZ226" i="41"/>
  <c r="BA226" i="41"/>
  <c r="BB226" i="41"/>
  <c r="BC226" i="41"/>
  <c r="BD226" i="41"/>
  <c r="F227" i="41"/>
  <c r="G227" i="41"/>
  <c r="H227" i="41"/>
  <c r="I227" i="41"/>
  <c r="J227" i="41"/>
  <c r="K227" i="41"/>
  <c r="L227" i="41"/>
  <c r="M227" i="41"/>
  <c r="N227" i="41"/>
  <c r="O227" i="41"/>
  <c r="P227" i="41"/>
  <c r="Q227" i="41"/>
  <c r="R227" i="41"/>
  <c r="S227" i="41"/>
  <c r="T227" i="41"/>
  <c r="U227" i="41"/>
  <c r="V227" i="41"/>
  <c r="W227" i="41"/>
  <c r="X227" i="41"/>
  <c r="Y227" i="41"/>
  <c r="Z227" i="41"/>
  <c r="AA227" i="41"/>
  <c r="AB227" i="41"/>
  <c r="AC227" i="41"/>
  <c r="AD227" i="41"/>
  <c r="AE227" i="41"/>
  <c r="AF227" i="41"/>
  <c r="AG227" i="41"/>
  <c r="AH227" i="41"/>
  <c r="AI227" i="41"/>
  <c r="AJ227" i="41"/>
  <c r="AK227" i="41"/>
  <c r="AL227" i="41"/>
  <c r="AM227" i="41"/>
  <c r="AN227" i="41"/>
  <c r="AO227" i="41"/>
  <c r="AP227" i="41"/>
  <c r="AQ227" i="41"/>
  <c r="AR227" i="41"/>
  <c r="AS227" i="41"/>
  <c r="AT227" i="41"/>
  <c r="AU227" i="41"/>
  <c r="AV227" i="41"/>
  <c r="AW227" i="41"/>
  <c r="AX227" i="41"/>
  <c r="AY227" i="41"/>
  <c r="AZ227" i="41"/>
  <c r="BA227" i="41"/>
  <c r="BB227" i="41"/>
  <c r="BC227" i="41"/>
  <c r="BD227" i="41"/>
  <c r="F228" i="41"/>
  <c r="G228" i="41"/>
  <c r="H228" i="41"/>
  <c r="I228" i="41"/>
  <c r="J228" i="41"/>
  <c r="K228" i="41"/>
  <c r="L228" i="41"/>
  <c r="M228" i="41"/>
  <c r="N228" i="41"/>
  <c r="O228" i="41"/>
  <c r="P228" i="41"/>
  <c r="Q228" i="41"/>
  <c r="R228" i="41"/>
  <c r="S228" i="41"/>
  <c r="T228" i="41"/>
  <c r="U228" i="41"/>
  <c r="V228" i="41"/>
  <c r="W228" i="41"/>
  <c r="X228" i="41"/>
  <c r="Y228" i="41"/>
  <c r="Z228" i="41"/>
  <c r="AA228" i="41"/>
  <c r="AB228" i="41"/>
  <c r="AC228" i="41"/>
  <c r="AD228" i="41"/>
  <c r="AE228" i="41"/>
  <c r="AF228" i="41"/>
  <c r="AG228" i="41"/>
  <c r="AH228" i="41"/>
  <c r="AI228" i="41"/>
  <c r="AJ228" i="41"/>
  <c r="AK228" i="41"/>
  <c r="AL228" i="41"/>
  <c r="AM228" i="41"/>
  <c r="AN228" i="41"/>
  <c r="AO228" i="41"/>
  <c r="AP228" i="41"/>
  <c r="AQ228" i="41"/>
  <c r="AR228" i="41"/>
  <c r="AS228" i="41"/>
  <c r="AT228" i="41"/>
  <c r="AU228" i="41"/>
  <c r="AV228" i="41"/>
  <c r="AW228" i="41"/>
  <c r="AX228" i="41"/>
  <c r="AY228" i="41"/>
  <c r="AZ228" i="41"/>
  <c r="BA228" i="41"/>
  <c r="BB228" i="41"/>
  <c r="BC228" i="41"/>
  <c r="BD228" i="41"/>
  <c r="F229" i="41"/>
  <c r="G229" i="41"/>
  <c r="H229" i="41"/>
  <c r="I229" i="41"/>
  <c r="J229" i="41"/>
  <c r="K229" i="41"/>
  <c r="L229" i="41"/>
  <c r="M229" i="41"/>
  <c r="N229" i="41"/>
  <c r="O229" i="41"/>
  <c r="P229" i="41"/>
  <c r="Q229" i="41"/>
  <c r="R229" i="41"/>
  <c r="S229" i="41"/>
  <c r="T229" i="41"/>
  <c r="U229" i="41"/>
  <c r="V229" i="41"/>
  <c r="W229" i="41"/>
  <c r="X229" i="41"/>
  <c r="Y229" i="41"/>
  <c r="Z229" i="41"/>
  <c r="AA229" i="41"/>
  <c r="AB229" i="41"/>
  <c r="AC229" i="41"/>
  <c r="AD229" i="41"/>
  <c r="AE229" i="41"/>
  <c r="AF229" i="41"/>
  <c r="AG229" i="41"/>
  <c r="AH229" i="41"/>
  <c r="AI229" i="41"/>
  <c r="AJ229" i="41"/>
  <c r="AK229" i="41"/>
  <c r="AL229" i="41"/>
  <c r="AM229" i="41"/>
  <c r="AN229" i="41"/>
  <c r="AO229" i="41"/>
  <c r="AP229" i="41"/>
  <c r="AQ229" i="41"/>
  <c r="AR229" i="41"/>
  <c r="AS229" i="41"/>
  <c r="AT229" i="41"/>
  <c r="AU229" i="41"/>
  <c r="AV229" i="41"/>
  <c r="AW229" i="41"/>
  <c r="AX229" i="41"/>
  <c r="AY229" i="41"/>
  <c r="AZ229" i="41"/>
  <c r="BA229" i="41"/>
  <c r="BB229" i="41"/>
  <c r="BC229" i="41"/>
  <c r="BD229" i="41"/>
  <c r="F230" i="41"/>
  <c r="G230" i="41"/>
  <c r="H230" i="41"/>
  <c r="I230" i="41"/>
  <c r="J230" i="41"/>
  <c r="K230" i="41"/>
  <c r="L230" i="41"/>
  <c r="M230" i="41"/>
  <c r="N230" i="41"/>
  <c r="O230" i="41"/>
  <c r="P230" i="41"/>
  <c r="Q230" i="41"/>
  <c r="R230" i="41"/>
  <c r="S230" i="41"/>
  <c r="T230" i="41"/>
  <c r="U230" i="41"/>
  <c r="V230" i="41"/>
  <c r="W230" i="41"/>
  <c r="X230" i="41"/>
  <c r="Y230" i="41"/>
  <c r="Z230" i="41"/>
  <c r="AA230" i="41"/>
  <c r="AB230" i="41"/>
  <c r="AC230" i="41"/>
  <c r="AD230" i="41"/>
  <c r="AE230" i="41"/>
  <c r="AF230" i="41"/>
  <c r="AG230" i="41"/>
  <c r="AH230" i="41"/>
  <c r="AI230" i="41"/>
  <c r="AJ230" i="41"/>
  <c r="AK230" i="41"/>
  <c r="AL230" i="41"/>
  <c r="AM230" i="41"/>
  <c r="AN230" i="41"/>
  <c r="AO230" i="41"/>
  <c r="AP230" i="41"/>
  <c r="AQ230" i="41"/>
  <c r="AR230" i="41"/>
  <c r="AS230" i="41"/>
  <c r="AT230" i="41"/>
  <c r="AU230" i="41"/>
  <c r="AV230" i="41"/>
  <c r="AW230" i="41"/>
  <c r="AX230" i="41"/>
  <c r="AY230" i="41"/>
  <c r="AZ230" i="41"/>
  <c r="BA230" i="41"/>
  <c r="BB230" i="41"/>
  <c r="BC230" i="41"/>
  <c r="BD230" i="41"/>
  <c r="F231" i="41"/>
  <c r="G231" i="41"/>
  <c r="H231" i="41"/>
  <c r="I231" i="41"/>
  <c r="J231" i="41"/>
  <c r="K231" i="41"/>
  <c r="L231" i="41"/>
  <c r="M231" i="41"/>
  <c r="N231" i="41"/>
  <c r="O231" i="41"/>
  <c r="P231" i="41"/>
  <c r="Q231" i="41"/>
  <c r="R231" i="41"/>
  <c r="S231" i="41"/>
  <c r="T231" i="41"/>
  <c r="U231" i="41"/>
  <c r="V231" i="41"/>
  <c r="W231" i="41"/>
  <c r="X231" i="41"/>
  <c r="Y231" i="41"/>
  <c r="Z231" i="41"/>
  <c r="AA231" i="41"/>
  <c r="AB231" i="41"/>
  <c r="AC231" i="41"/>
  <c r="AD231" i="41"/>
  <c r="AE231" i="41"/>
  <c r="AF231" i="41"/>
  <c r="AG231" i="41"/>
  <c r="AH231" i="41"/>
  <c r="AI231" i="41"/>
  <c r="AJ231" i="41"/>
  <c r="AK231" i="41"/>
  <c r="AL231" i="41"/>
  <c r="AM231" i="41"/>
  <c r="AN231" i="41"/>
  <c r="AO231" i="41"/>
  <c r="AP231" i="41"/>
  <c r="AQ231" i="41"/>
  <c r="AR231" i="41"/>
  <c r="AS231" i="41"/>
  <c r="AT231" i="41"/>
  <c r="AU231" i="41"/>
  <c r="AV231" i="41"/>
  <c r="AW231" i="41"/>
  <c r="AX231" i="41"/>
  <c r="AY231" i="41"/>
  <c r="AZ231" i="41"/>
  <c r="BA231" i="41"/>
  <c r="BB231" i="41"/>
  <c r="BC231" i="41"/>
  <c r="BD231" i="41"/>
  <c r="F232" i="41"/>
  <c r="G232" i="41"/>
  <c r="H232" i="41"/>
  <c r="I232" i="41"/>
  <c r="J232" i="41"/>
  <c r="K232" i="41"/>
  <c r="L232" i="41"/>
  <c r="M232" i="41"/>
  <c r="N232" i="41"/>
  <c r="O232" i="41"/>
  <c r="P232" i="41"/>
  <c r="Q232" i="41"/>
  <c r="R232" i="41"/>
  <c r="S232" i="41"/>
  <c r="T232" i="41"/>
  <c r="U232" i="41"/>
  <c r="V232" i="41"/>
  <c r="W232" i="41"/>
  <c r="X232" i="41"/>
  <c r="Y232" i="41"/>
  <c r="Z232" i="41"/>
  <c r="AA232" i="41"/>
  <c r="AB232" i="41"/>
  <c r="AC232" i="41"/>
  <c r="AD232" i="41"/>
  <c r="AE232" i="41"/>
  <c r="AF232" i="41"/>
  <c r="AG232" i="41"/>
  <c r="AH232" i="41"/>
  <c r="AI232" i="41"/>
  <c r="AJ232" i="41"/>
  <c r="AK232" i="41"/>
  <c r="AL232" i="41"/>
  <c r="AM232" i="41"/>
  <c r="AN232" i="41"/>
  <c r="AO232" i="41"/>
  <c r="AP232" i="41"/>
  <c r="AQ232" i="41"/>
  <c r="AR232" i="41"/>
  <c r="AS232" i="41"/>
  <c r="AT232" i="41"/>
  <c r="AU232" i="41"/>
  <c r="AV232" i="41"/>
  <c r="AW232" i="41"/>
  <c r="AX232" i="41"/>
  <c r="AY232" i="41"/>
  <c r="AZ232" i="41"/>
  <c r="BA232" i="41"/>
  <c r="BB232" i="41"/>
  <c r="BC232" i="41"/>
  <c r="BD232" i="41"/>
  <c r="F233" i="41"/>
  <c r="G233" i="41"/>
  <c r="H233" i="41"/>
  <c r="I233" i="41"/>
  <c r="J233" i="41"/>
  <c r="K233" i="41"/>
  <c r="L233" i="41"/>
  <c r="M233" i="41"/>
  <c r="N233" i="41"/>
  <c r="O233" i="41"/>
  <c r="P233" i="41"/>
  <c r="Q233" i="41"/>
  <c r="R233" i="41"/>
  <c r="S233" i="41"/>
  <c r="T233" i="41"/>
  <c r="U233" i="41"/>
  <c r="V233" i="41"/>
  <c r="W233" i="41"/>
  <c r="X233" i="41"/>
  <c r="Y233" i="41"/>
  <c r="Z233" i="41"/>
  <c r="AA233" i="41"/>
  <c r="AB233" i="41"/>
  <c r="AC233" i="41"/>
  <c r="AD233" i="41"/>
  <c r="AE233" i="41"/>
  <c r="AF233" i="41"/>
  <c r="AG233" i="41"/>
  <c r="AH233" i="41"/>
  <c r="AI233" i="41"/>
  <c r="AJ233" i="41"/>
  <c r="AK233" i="41"/>
  <c r="AL233" i="41"/>
  <c r="AM233" i="41"/>
  <c r="AN233" i="41"/>
  <c r="AO233" i="41"/>
  <c r="AP233" i="41"/>
  <c r="AQ233" i="41"/>
  <c r="AR233" i="41"/>
  <c r="AS233" i="41"/>
  <c r="AT233" i="41"/>
  <c r="AU233" i="41"/>
  <c r="AV233" i="41"/>
  <c r="AW233" i="41"/>
  <c r="AX233" i="41"/>
  <c r="AY233" i="41"/>
  <c r="AZ233" i="41"/>
  <c r="BA233" i="41"/>
  <c r="BB233" i="41"/>
  <c r="BC233" i="41"/>
  <c r="BD233" i="41"/>
  <c r="F234" i="41"/>
  <c r="G234" i="41"/>
  <c r="H234" i="41"/>
  <c r="I234" i="41"/>
  <c r="J234" i="41"/>
  <c r="K234" i="41"/>
  <c r="L234" i="41"/>
  <c r="M234" i="41"/>
  <c r="N234" i="41"/>
  <c r="O234" i="41"/>
  <c r="P234" i="41"/>
  <c r="Q234" i="41"/>
  <c r="R234" i="41"/>
  <c r="S234" i="41"/>
  <c r="T234" i="41"/>
  <c r="U234" i="41"/>
  <c r="V234" i="41"/>
  <c r="W234" i="41"/>
  <c r="X234" i="41"/>
  <c r="Y234" i="41"/>
  <c r="Z234" i="41"/>
  <c r="AA234" i="41"/>
  <c r="AB234" i="41"/>
  <c r="AC234" i="41"/>
  <c r="AD234" i="41"/>
  <c r="AE234" i="41"/>
  <c r="AF234" i="41"/>
  <c r="AG234" i="41"/>
  <c r="AH234" i="41"/>
  <c r="AI234" i="41"/>
  <c r="AJ234" i="41"/>
  <c r="AK234" i="41"/>
  <c r="AL234" i="41"/>
  <c r="AM234" i="41"/>
  <c r="AN234" i="41"/>
  <c r="AO234" i="41"/>
  <c r="AP234" i="41"/>
  <c r="AQ234" i="41"/>
  <c r="AR234" i="41"/>
  <c r="AS234" i="41"/>
  <c r="AT234" i="41"/>
  <c r="AU234" i="41"/>
  <c r="AV234" i="41"/>
  <c r="AW234" i="41"/>
  <c r="AX234" i="41"/>
  <c r="AY234" i="41"/>
  <c r="AZ234" i="41"/>
  <c r="BA234" i="41"/>
  <c r="BB234" i="41"/>
  <c r="BC234" i="41"/>
  <c r="BD234" i="41"/>
  <c r="F235" i="41"/>
  <c r="G235" i="41"/>
  <c r="H235" i="41"/>
  <c r="I235" i="41"/>
  <c r="J235" i="41"/>
  <c r="K235" i="41"/>
  <c r="L235" i="41"/>
  <c r="M235" i="41"/>
  <c r="N235" i="41"/>
  <c r="O235" i="41"/>
  <c r="P235" i="41"/>
  <c r="Q235" i="41"/>
  <c r="R235" i="41"/>
  <c r="S235" i="41"/>
  <c r="T235" i="41"/>
  <c r="U235" i="41"/>
  <c r="V235" i="41"/>
  <c r="W235" i="41"/>
  <c r="X235" i="41"/>
  <c r="Y235" i="41"/>
  <c r="Z235" i="41"/>
  <c r="AA235" i="41"/>
  <c r="AB235" i="41"/>
  <c r="AC235" i="41"/>
  <c r="AD235" i="41"/>
  <c r="AE235" i="41"/>
  <c r="AF235" i="41"/>
  <c r="AG235" i="41"/>
  <c r="AH235" i="41"/>
  <c r="AI235" i="41"/>
  <c r="AJ235" i="41"/>
  <c r="AK235" i="41"/>
  <c r="AL235" i="41"/>
  <c r="AM235" i="41"/>
  <c r="AN235" i="41"/>
  <c r="AO235" i="41"/>
  <c r="AP235" i="41"/>
  <c r="AQ235" i="41"/>
  <c r="AR235" i="41"/>
  <c r="AS235" i="41"/>
  <c r="AT235" i="41"/>
  <c r="AU235" i="41"/>
  <c r="AV235" i="41"/>
  <c r="AW235" i="41"/>
  <c r="AX235" i="41"/>
  <c r="AY235" i="41"/>
  <c r="AZ235" i="41"/>
  <c r="BA235" i="41"/>
  <c r="BB235" i="41"/>
  <c r="BC235" i="41"/>
  <c r="BD235" i="41"/>
  <c r="F236" i="41"/>
  <c r="G236" i="41"/>
  <c r="H236" i="41"/>
  <c r="I236" i="41"/>
  <c r="J236" i="41"/>
  <c r="K236" i="41"/>
  <c r="L236" i="41"/>
  <c r="M236" i="41"/>
  <c r="N236" i="41"/>
  <c r="O236" i="41"/>
  <c r="P236" i="41"/>
  <c r="Q236" i="41"/>
  <c r="R236" i="41"/>
  <c r="S236" i="41"/>
  <c r="T236" i="41"/>
  <c r="U236" i="41"/>
  <c r="V236" i="41"/>
  <c r="W236" i="41"/>
  <c r="X236" i="41"/>
  <c r="Y236" i="41"/>
  <c r="Z236" i="41"/>
  <c r="AA236" i="41"/>
  <c r="AB236" i="41"/>
  <c r="AC236" i="41"/>
  <c r="AD236" i="41"/>
  <c r="AE236" i="41"/>
  <c r="AF236" i="41"/>
  <c r="AG236" i="41"/>
  <c r="AH236" i="41"/>
  <c r="AI236" i="41"/>
  <c r="AJ236" i="41"/>
  <c r="AK236" i="41"/>
  <c r="AL236" i="41"/>
  <c r="AM236" i="41"/>
  <c r="AN236" i="41"/>
  <c r="AO236" i="41"/>
  <c r="AP236" i="41"/>
  <c r="AQ236" i="41"/>
  <c r="AR236" i="41"/>
  <c r="AS236" i="41"/>
  <c r="AT236" i="41"/>
  <c r="AU236" i="41"/>
  <c r="AV236" i="41"/>
  <c r="AW236" i="41"/>
  <c r="AX236" i="41"/>
  <c r="AY236" i="41"/>
  <c r="AZ236" i="41"/>
  <c r="BA236" i="41"/>
  <c r="BB236" i="41"/>
  <c r="BC236" i="41"/>
  <c r="BD236" i="41"/>
  <c r="F237" i="41"/>
  <c r="G237" i="41"/>
  <c r="H237" i="41"/>
  <c r="I237" i="41"/>
  <c r="J237" i="41"/>
  <c r="K237" i="41"/>
  <c r="L237" i="41"/>
  <c r="M237" i="41"/>
  <c r="N237" i="41"/>
  <c r="O237" i="41"/>
  <c r="P237" i="41"/>
  <c r="Q237" i="41"/>
  <c r="R237" i="41"/>
  <c r="S237" i="41"/>
  <c r="T237" i="41"/>
  <c r="U237" i="41"/>
  <c r="V237" i="41"/>
  <c r="W237" i="41"/>
  <c r="X237" i="41"/>
  <c r="Y237" i="41"/>
  <c r="Z237" i="41"/>
  <c r="AA237" i="41"/>
  <c r="AB237" i="41"/>
  <c r="AC237" i="41"/>
  <c r="AD237" i="41"/>
  <c r="AE237" i="41"/>
  <c r="AF237" i="41"/>
  <c r="AG237" i="41"/>
  <c r="AH237" i="41"/>
  <c r="AI237" i="41"/>
  <c r="AJ237" i="41"/>
  <c r="AK237" i="41"/>
  <c r="AL237" i="41"/>
  <c r="AM237" i="41"/>
  <c r="AN237" i="41"/>
  <c r="AO237" i="41"/>
  <c r="AP237" i="41"/>
  <c r="AQ237" i="41"/>
  <c r="AR237" i="41"/>
  <c r="AS237" i="41"/>
  <c r="AT237" i="41"/>
  <c r="AU237" i="41"/>
  <c r="AV237" i="41"/>
  <c r="AW237" i="41"/>
  <c r="AX237" i="41"/>
  <c r="AY237" i="41"/>
  <c r="AZ237" i="41"/>
  <c r="BA237" i="41"/>
  <c r="BB237" i="41"/>
  <c r="BC237" i="41"/>
  <c r="BD237" i="41"/>
  <c r="F238" i="41"/>
  <c r="G238" i="41"/>
  <c r="H238" i="41"/>
  <c r="I238" i="41"/>
  <c r="J238" i="41"/>
  <c r="K238" i="41"/>
  <c r="L238" i="41"/>
  <c r="M238" i="41"/>
  <c r="N238" i="41"/>
  <c r="O238" i="41"/>
  <c r="P238" i="41"/>
  <c r="Q238" i="41"/>
  <c r="R238" i="41"/>
  <c r="S238" i="41"/>
  <c r="T238" i="41"/>
  <c r="U238" i="41"/>
  <c r="V238" i="41"/>
  <c r="W238" i="41"/>
  <c r="X238" i="41"/>
  <c r="Y238" i="41"/>
  <c r="Z238" i="41"/>
  <c r="AA238" i="41"/>
  <c r="AB238" i="41"/>
  <c r="AC238" i="41"/>
  <c r="AD238" i="41"/>
  <c r="AE238" i="41"/>
  <c r="AF238" i="41"/>
  <c r="AG238" i="41"/>
  <c r="AH238" i="41"/>
  <c r="AI238" i="41"/>
  <c r="AJ238" i="41"/>
  <c r="AK238" i="41"/>
  <c r="AL238" i="41"/>
  <c r="AM238" i="41"/>
  <c r="AN238" i="41"/>
  <c r="AO238" i="41"/>
  <c r="AP238" i="41"/>
  <c r="AQ238" i="41"/>
  <c r="AR238" i="41"/>
  <c r="AS238" i="41"/>
  <c r="AT238" i="41"/>
  <c r="AU238" i="41"/>
  <c r="AV238" i="41"/>
  <c r="AW238" i="41"/>
  <c r="AX238" i="41"/>
  <c r="AY238" i="41"/>
  <c r="AZ238" i="41"/>
  <c r="BA238" i="41"/>
  <c r="BB238" i="41"/>
  <c r="BC238" i="41"/>
  <c r="BD238" i="41"/>
  <c r="F239" i="41"/>
  <c r="G239" i="41"/>
  <c r="H239" i="41"/>
  <c r="I239" i="41"/>
  <c r="J239" i="41"/>
  <c r="K239" i="41"/>
  <c r="L239" i="41"/>
  <c r="M239" i="41"/>
  <c r="N239" i="41"/>
  <c r="O239" i="41"/>
  <c r="P239" i="41"/>
  <c r="Q239" i="41"/>
  <c r="R239" i="41"/>
  <c r="S239" i="41"/>
  <c r="T239" i="41"/>
  <c r="U239" i="41"/>
  <c r="V239" i="41"/>
  <c r="W239" i="41"/>
  <c r="X239" i="41"/>
  <c r="Y239" i="41"/>
  <c r="Z239" i="41"/>
  <c r="AA239" i="41"/>
  <c r="AB239" i="41"/>
  <c r="AC239" i="41"/>
  <c r="AD239" i="41"/>
  <c r="AE239" i="41"/>
  <c r="AF239" i="41"/>
  <c r="AG239" i="41"/>
  <c r="AH239" i="41"/>
  <c r="AI239" i="41"/>
  <c r="AJ239" i="41"/>
  <c r="AK239" i="41"/>
  <c r="AL239" i="41"/>
  <c r="AM239" i="41"/>
  <c r="AN239" i="41"/>
  <c r="AO239" i="41"/>
  <c r="AP239" i="41"/>
  <c r="AQ239" i="41"/>
  <c r="AR239" i="41"/>
  <c r="AS239" i="41"/>
  <c r="AT239" i="41"/>
  <c r="AU239" i="41"/>
  <c r="AV239" i="41"/>
  <c r="AW239" i="41"/>
  <c r="AX239" i="41"/>
  <c r="AY239" i="41"/>
  <c r="AZ239" i="41"/>
  <c r="BA239" i="41"/>
  <c r="BB239" i="41"/>
  <c r="BC239" i="41"/>
  <c r="BD239" i="41"/>
  <c r="F240" i="41"/>
  <c r="G240" i="41"/>
  <c r="H240" i="41"/>
  <c r="I240" i="41"/>
  <c r="J240" i="41"/>
  <c r="K240" i="41"/>
  <c r="L240" i="41"/>
  <c r="M240" i="41"/>
  <c r="N240" i="41"/>
  <c r="O240" i="41"/>
  <c r="P240" i="41"/>
  <c r="Q240" i="41"/>
  <c r="R240" i="41"/>
  <c r="S240" i="41"/>
  <c r="T240" i="41"/>
  <c r="U240" i="41"/>
  <c r="V240" i="41"/>
  <c r="W240" i="41"/>
  <c r="X240" i="41"/>
  <c r="Y240" i="41"/>
  <c r="Z240" i="41"/>
  <c r="AA240" i="41"/>
  <c r="AB240" i="41"/>
  <c r="AC240" i="41"/>
  <c r="AD240" i="41"/>
  <c r="AE240" i="41"/>
  <c r="AF240" i="41"/>
  <c r="AG240" i="41"/>
  <c r="AH240" i="41"/>
  <c r="AI240" i="41"/>
  <c r="AJ240" i="41"/>
  <c r="AK240" i="41"/>
  <c r="AL240" i="41"/>
  <c r="AM240" i="41"/>
  <c r="AN240" i="41"/>
  <c r="AO240" i="41"/>
  <c r="AP240" i="41"/>
  <c r="AQ240" i="41"/>
  <c r="AR240" i="41"/>
  <c r="AS240" i="41"/>
  <c r="AT240" i="41"/>
  <c r="AU240" i="41"/>
  <c r="AV240" i="41"/>
  <c r="AW240" i="41"/>
  <c r="AX240" i="41"/>
  <c r="AY240" i="41"/>
  <c r="AZ240" i="41"/>
  <c r="BA240" i="41"/>
  <c r="BB240" i="41"/>
  <c r="BC240" i="41"/>
  <c r="BD240" i="41"/>
  <c r="F241" i="41"/>
  <c r="G241" i="41"/>
  <c r="H241" i="41"/>
  <c r="I241" i="41"/>
  <c r="J241" i="41"/>
  <c r="K241" i="41"/>
  <c r="L241" i="41"/>
  <c r="M241" i="41"/>
  <c r="N241" i="41"/>
  <c r="O241" i="41"/>
  <c r="P241" i="41"/>
  <c r="Q241" i="41"/>
  <c r="R241" i="41"/>
  <c r="S241" i="41"/>
  <c r="T241" i="41"/>
  <c r="U241" i="41"/>
  <c r="V241" i="41"/>
  <c r="W241" i="41"/>
  <c r="X241" i="41"/>
  <c r="Y241" i="41"/>
  <c r="Z241" i="41"/>
  <c r="AA241" i="41"/>
  <c r="AB241" i="41"/>
  <c r="AC241" i="41"/>
  <c r="AD241" i="41"/>
  <c r="AE241" i="41"/>
  <c r="AF241" i="41"/>
  <c r="AG241" i="41"/>
  <c r="AH241" i="41"/>
  <c r="AI241" i="41"/>
  <c r="AJ241" i="41"/>
  <c r="AK241" i="41"/>
  <c r="AL241" i="41"/>
  <c r="AM241" i="41"/>
  <c r="AN241" i="41"/>
  <c r="AO241" i="41"/>
  <c r="AP241" i="41"/>
  <c r="AQ241" i="41"/>
  <c r="AR241" i="41"/>
  <c r="AS241" i="41"/>
  <c r="AT241" i="41"/>
  <c r="AU241" i="41"/>
  <c r="AV241" i="41"/>
  <c r="AW241" i="41"/>
  <c r="AX241" i="41"/>
  <c r="AY241" i="41"/>
  <c r="AZ241" i="41"/>
  <c r="BA241" i="41"/>
  <c r="BB241" i="41"/>
  <c r="BC241" i="41"/>
  <c r="BD241" i="41"/>
  <c r="F242" i="41"/>
  <c r="G242" i="41"/>
  <c r="H242" i="41"/>
  <c r="I242" i="41"/>
  <c r="J242" i="41"/>
  <c r="K242" i="41"/>
  <c r="L242" i="41"/>
  <c r="M242" i="41"/>
  <c r="N242" i="41"/>
  <c r="O242" i="41"/>
  <c r="P242" i="41"/>
  <c r="Q242" i="41"/>
  <c r="R242" i="41"/>
  <c r="S242" i="41"/>
  <c r="T242" i="41"/>
  <c r="U242" i="41"/>
  <c r="V242" i="41"/>
  <c r="W242" i="41"/>
  <c r="X242" i="41"/>
  <c r="Y242" i="41"/>
  <c r="Z242" i="41"/>
  <c r="AA242" i="41"/>
  <c r="AB242" i="41"/>
  <c r="AC242" i="41"/>
  <c r="AD242" i="41"/>
  <c r="AE242" i="41"/>
  <c r="AF242" i="41"/>
  <c r="AG242" i="41"/>
  <c r="AH242" i="41"/>
  <c r="AI242" i="41"/>
  <c r="AJ242" i="41"/>
  <c r="AK242" i="41"/>
  <c r="AL242" i="41"/>
  <c r="AM242" i="41"/>
  <c r="AN242" i="41"/>
  <c r="AO242" i="41"/>
  <c r="AP242" i="41"/>
  <c r="AQ242" i="41"/>
  <c r="AR242" i="41"/>
  <c r="AS242" i="41"/>
  <c r="AT242" i="41"/>
  <c r="AU242" i="41"/>
  <c r="AV242" i="41"/>
  <c r="AW242" i="41"/>
  <c r="AX242" i="41"/>
  <c r="AY242" i="41"/>
  <c r="AZ242" i="41"/>
  <c r="BA242" i="41"/>
  <c r="BB242" i="41"/>
  <c r="BC242" i="41"/>
  <c r="BD242" i="41"/>
  <c r="F243" i="41"/>
  <c r="G243" i="41"/>
  <c r="H243" i="41"/>
  <c r="I243" i="41"/>
  <c r="J243" i="41"/>
  <c r="K243" i="41"/>
  <c r="L243" i="41"/>
  <c r="M243" i="41"/>
  <c r="N243" i="41"/>
  <c r="O243" i="41"/>
  <c r="P243" i="41"/>
  <c r="Q243" i="41"/>
  <c r="R243" i="41"/>
  <c r="S243" i="41"/>
  <c r="T243" i="41"/>
  <c r="U243" i="41"/>
  <c r="V243" i="41"/>
  <c r="W243" i="41"/>
  <c r="X243" i="41"/>
  <c r="Y243" i="41"/>
  <c r="Z243" i="41"/>
  <c r="AA243" i="41"/>
  <c r="AB243" i="41"/>
  <c r="AC243" i="41"/>
  <c r="AD243" i="41"/>
  <c r="AE243" i="41"/>
  <c r="AF243" i="41"/>
  <c r="AG243" i="41"/>
  <c r="AH243" i="41"/>
  <c r="AI243" i="41"/>
  <c r="AJ243" i="41"/>
  <c r="AK243" i="41"/>
  <c r="AL243" i="41"/>
  <c r="AM243" i="41"/>
  <c r="AN243" i="41"/>
  <c r="AO243" i="41"/>
  <c r="AP243" i="41"/>
  <c r="AQ243" i="41"/>
  <c r="AR243" i="41"/>
  <c r="AS243" i="41"/>
  <c r="AT243" i="41"/>
  <c r="AU243" i="41"/>
  <c r="AV243" i="41"/>
  <c r="AW243" i="41"/>
  <c r="AX243" i="41"/>
  <c r="AY243" i="41"/>
  <c r="AZ243" i="41"/>
  <c r="BA243" i="41"/>
  <c r="BB243" i="41"/>
  <c r="BC243" i="41"/>
  <c r="BD243" i="41"/>
  <c r="F244" i="41"/>
  <c r="G244" i="41"/>
  <c r="H244" i="41"/>
  <c r="I244" i="41"/>
  <c r="J244" i="41"/>
  <c r="K244" i="41"/>
  <c r="L244" i="41"/>
  <c r="M244" i="41"/>
  <c r="N244" i="41"/>
  <c r="O244" i="41"/>
  <c r="P244" i="41"/>
  <c r="Q244" i="41"/>
  <c r="R244" i="41"/>
  <c r="S244" i="41"/>
  <c r="T244" i="41"/>
  <c r="U244" i="41"/>
  <c r="V244" i="41"/>
  <c r="W244" i="41"/>
  <c r="X244" i="41"/>
  <c r="Y244" i="41"/>
  <c r="Z244" i="41"/>
  <c r="AA244" i="41"/>
  <c r="AB244" i="41"/>
  <c r="AC244" i="41"/>
  <c r="AD244" i="41"/>
  <c r="AE244" i="41"/>
  <c r="AF244" i="41"/>
  <c r="AG244" i="41"/>
  <c r="AH244" i="41"/>
  <c r="AI244" i="41"/>
  <c r="AJ244" i="41"/>
  <c r="AK244" i="41"/>
  <c r="AL244" i="41"/>
  <c r="AM244" i="41"/>
  <c r="AN244" i="41"/>
  <c r="AO244" i="41"/>
  <c r="AP244" i="41"/>
  <c r="AQ244" i="41"/>
  <c r="AR244" i="41"/>
  <c r="AS244" i="41"/>
  <c r="AT244" i="41"/>
  <c r="AU244" i="41"/>
  <c r="AV244" i="41"/>
  <c r="AW244" i="41"/>
  <c r="AX244" i="41"/>
  <c r="AY244" i="41"/>
  <c r="AZ244" i="41"/>
  <c r="BA244" i="41"/>
  <c r="BB244" i="41"/>
  <c r="BC244" i="41"/>
  <c r="BD244" i="41"/>
  <c r="F245" i="41"/>
  <c r="G245" i="41"/>
  <c r="H245" i="41"/>
  <c r="I245" i="41"/>
  <c r="J245" i="41"/>
  <c r="K245" i="41"/>
  <c r="L245" i="41"/>
  <c r="M245" i="41"/>
  <c r="N245" i="41"/>
  <c r="O245" i="41"/>
  <c r="P245" i="41"/>
  <c r="Q245" i="41"/>
  <c r="R245" i="41"/>
  <c r="S245" i="41"/>
  <c r="T245" i="41"/>
  <c r="U245" i="41"/>
  <c r="V245" i="41"/>
  <c r="W245" i="41"/>
  <c r="X245" i="41"/>
  <c r="Y245" i="41"/>
  <c r="Z245" i="41"/>
  <c r="AA245" i="41"/>
  <c r="AB245" i="41"/>
  <c r="AC245" i="41"/>
  <c r="AD245" i="41"/>
  <c r="AE245" i="41"/>
  <c r="AF245" i="41"/>
  <c r="AG245" i="41"/>
  <c r="AH245" i="41"/>
  <c r="AI245" i="41"/>
  <c r="AJ245" i="41"/>
  <c r="AK245" i="41"/>
  <c r="AL245" i="41"/>
  <c r="AM245" i="41"/>
  <c r="AN245" i="41"/>
  <c r="AO245" i="41"/>
  <c r="AP245" i="41"/>
  <c r="AQ245" i="41"/>
  <c r="AR245" i="41"/>
  <c r="AS245" i="41"/>
  <c r="AT245" i="41"/>
  <c r="AU245" i="41"/>
  <c r="AV245" i="41"/>
  <c r="AW245" i="41"/>
  <c r="AX245" i="41"/>
  <c r="AY245" i="41"/>
  <c r="AZ245" i="41"/>
  <c r="BA245" i="41"/>
  <c r="BB245" i="41"/>
  <c r="BC245" i="41"/>
  <c r="BD245" i="41"/>
  <c r="F246" i="41"/>
  <c r="G246" i="41"/>
  <c r="H246" i="41"/>
  <c r="I246" i="41"/>
  <c r="J246" i="41"/>
  <c r="K246" i="41"/>
  <c r="L246" i="41"/>
  <c r="M246" i="41"/>
  <c r="N246" i="41"/>
  <c r="O246" i="41"/>
  <c r="P246" i="41"/>
  <c r="Q246" i="41"/>
  <c r="R246" i="41"/>
  <c r="S246" i="41"/>
  <c r="T246" i="41"/>
  <c r="U246" i="41"/>
  <c r="V246" i="41"/>
  <c r="W246" i="41"/>
  <c r="X246" i="41"/>
  <c r="Y246" i="41"/>
  <c r="Z246" i="41"/>
  <c r="AA246" i="41"/>
  <c r="AB246" i="41"/>
  <c r="AC246" i="41"/>
  <c r="AD246" i="41"/>
  <c r="AE246" i="41"/>
  <c r="AF246" i="41"/>
  <c r="AG246" i="41"/>
  <c r="AH246" i="41"/>
  <c r="AI246" i="41"/>
  <c r="AJ246" i="41"/>
  <c r="AK246" i="41"/>
  <c r="AL246" i="41"/>
  <c r="AM246" i="41"/>
  <c r="AN246" i="41"/>
  <c r="AO246" i="41"/>
  <c r="AP246" i="41"/>
  <c r="AQ246" i="41"/>
  <c r="AR246" i="41"/>
  <c r="AS246" i="41"/>
  <c r="AT246" i="41"/>
  <c r="AU246" i="41"/>
  <c r="AV246" i="41"/>
  <c r="AW246" i="41"/>
  <c r="AX246" i="41"/>
  <c r="AY246" i="41"/>
  <c r="AZ246" i="41"/>
  <c r="BA246" i="41"/>
  <c r="BB246" i="41"/>
  <c r="BC246" i="41"/>
  <c r="BD246" i="41"/>
  <c r="F247" i="41"/>
  <c r="G247" i="41"/>
  <c r="H247" i="41"/>
  <c r="I247" i="41"/>
  <c r="J247" i="41"/>
  <c r="K247" i="41"/>
  <c r="L247" i="41"/>
  <c r="M247" i="41"/>
  <c r="N247" i="41"/>
  <c r="O247" i="41"/>
  <c r="P247" i="41"/>
  <c r="Q247" i="41"/>
  <c r="R247" i="41"/>
  <c r="S247" i="41"/>
  <c r="T247" i="41"/>
  <c r="U247" i="41"/>
  <c r="V247" i="41"/>
  <c r="W247" i="41"/>
  <c r="X247" i="41"/>
  <c r="Y247" i="41"/>
  <c r="Z247" i="41"/>
  <c r="AA247" i="41"/>
  <c r="AB247" i="41"/>
  <c r="AC247" i="41"/>
  <c r="AD247" i="41"/>
  <c r="AE247" i="41"/>
  <c r="AF247" i="41"/>
  <c r="AG247" i="41"/>
  <c r="AH247" i="41"/>
  <c r="AI247" i="41"/>
  <c r="AJ247" i="41"/>
  <c r="AK247" i="41"/>
  <c r="AL247" i="41"/>
  <c r="AM247" i="41"/>
  <c r="AN247" i="41"/>
  <c r="AO247" i="41"/>
  <c r="AP247" i="41"/>
  <c r="AQ247" i="41"/>
  <c r="AR247" i="41"/>
  <c r="AS247" i="41"/>
  <c r="AT247" i="41"/>
  <c r="AU247" i="41"/>
  <c r="AV247" i="41"/>
  <c r="AW247" i="41"/>
  <c r="AX247" i="41"/>
  <c r="AY247" i="41"/>
  <c r="AZ247" i="41"/>
  <c r="BA247" i="41"/>
  <c r="BB247" i="41"/>
  <c r="BC247" i="41"/>
  <c r="BD247" i="41"/>
  <c r="F248" i="41"/>
  <c r="G248" i="41"/>
  <c r="H248" i="41"/>
  <c r="I248" i="41"/>
  <c r="J248" i="41"/>
  <c r="K248" i="41"/>
  <c r="L248" i="41"/>
  <c r="M248" i="41"/>
  <c r="N248" i="41"/>
  <c r="O248" i="41"/>
  <c r="P248" i="41"/>
  <c r="Q248" i="41"/>
  <c r="R248" i="41"/>
  <c r="S248" i="41"/>
  <c r="T248" i="41"/>
  <c r="U248" i="41"/>
  <c r="V248" i="41"/>
  <c r="W248" i="41"/>
  <c r="X248" i="41"/>
  <c r="Y248" i="41"/>
  <c r="Z248" i="41"/>
  <c r="AA248" i="41"/>
  <c r="AB248" i="41"/>
  <c r="AC248" i="41"/>
  <c r="AD248" i="41"/>
  <c r="AE248" i="41"/>
  <c r="AF248" i="41"/>
  <c r="AG248" i="41"/>
  <c r="AH248" i="41"/>
  <c r="AI248" i="41"/>
  <c r="AJ248" i="41"/>
  <c r="AK248" i="41"/>
  <c r="AL248" i="41"/>
  <c r="AM248" i="41"/>
  <c r="AN248" i="41"/>
  <c r="AO248" i="41"/>
  <c r="AP248" i="41"/>
  <c r="AQ248" i="41"/>
  <c r="AR248" i="41"/>
  <c r="AS248" i="41"/>
  <c r="AT248" i="41"/>
  <c r="AU248" i="41"/>
  <c r="AV248" i="41"/>
  <c r="AW248" i="41"/>
  <c r="AX248" i="41"/>
  <c r="AY248" i="41"/>
  <c r="AZ248" i="41"/>
  <c r="BA248" i="41"/>
  <c r="BB248" i="41"/>
  <c r="BC248" i="41"/>
  <c r="BD248" i="41"/>
  <c r="F249" i="41"/>
  <c r="G249" i="41"/>
  <c r="H249" i="41"/>
  <c r="I249" i="41"/>
  <c r="J249" i="41"/>
  <c r="K249" i="41"/>
  <c r="L249" i="41"/>
  <c r="M249" i="41"/>
  <c r="N249" i="41"/>
  <c r="O249" i="41"/>
  <c r="P249" i="41"/>
  <c r="Q249" i="41"/>
  <c r="R249" i="41"/>
  <c r="S249" i="41"/>
  <c r="T249" i="41"/>
  <c r="U249" i="41"/>
  <c r="V249" i="41"/>
  <c r="W249" i="41"/>
  <c r="X249" i="41"/>
  <c r="Y249" i="41"/>
  <c r="Z249" i="41"/>
  <c r="AA249" i="41"/>
  <c r="AB249" i="41"/>
  <c r="AC249" i="41"/>
  <c r="AD249" i="41"/>
  <c r="AE249" i="41"/>
  <c r="AF249" i="41"/>
  <c r="AG249" i="41"/>
  <c r="AH249" i="41"/>
  <c r="AI249" i="41"/>
  <c r="AJ249" i="41"/>
  <c r="AK249" i="41"/>
  <c r="AL249" i="41"/>
  <c r="AM249" i="41"/>
  <c r="AN249" i="41"/>
  <c r="AO249" i="41"/>
  <c r="AP249" i="41"/>
  <c r="AQ249" i="41"/>
  <c r="AR249" i="41"/>
  <c r="AS249" i="41"/>
  <c r="AT249" i="41"/>
  <c r="AU249" i="41"/>
  <c r="AV249" i="41"/>
  <c r="AW249" i="41"/>
  <c r="AX249" i="41"/>
  <c r="AY249" i="41"/>
  <c r="AZ249" i="41"/>
  <c r="BA249" i="41"/>
  <c r="BB249" i="41"/>
  <c r="BC249" i="41"/>
  <c r="BD249" i="41"/>
  <c r="F250" i="41"/>
  <c r="G250" i="41"/>
  <c r="H250" i="41"/>
  <c r="I250" i="41"/>
  <c r="J250" i="41"/>
  <c r="K250" i="41"/>
  <c r="L250" i="41"/>
  <c r="M250" i="41"/>
  <c r="N250" i="41"/>
  <c r="O250" i="41"/>
  <c r="P250" i="41"/>
  <c r="Q250" i="41"/>
  <c r="R250" i="41"/>
  <c r="S250" i="41"/>
  <c r="T250" i="41"/>
  <c r="U250" i="41"/>
  <c r="V250" i="41"/>
  <c r="W250" i="41"/>
  <c r="X250" i="41"/>
  <c r="Y250" i="41"/>
  <c r="Z250" i="41"/>
  <c r="AA250" i="41"/>
  <c r="AB250" i="41"/>
  <c r="AC250" i="41"/>
  <c r="AD250" i="41"/>
  <c r="AE250" i="41"/>
  <c r="AF250" i="41"/>
  <c r="AG250" i="41"/>
  <c r="AH250" i="41"/>
  <c r="AI250" i="41"/>
  <c r="AJ250" i="41"/>
  <c r="AK250" i="41"/>
  <c r="AL250" i="41"/>
  <c r="AM250" i="41"/>
  <c r="AN250" i="41"/>
  <c r="AO250" i="41"/>
  <c r="AP250" i="41"/>
  <c r="AQ250" i="41"/>
  <c r="AR250" i="41"/>
  <c r="AS250" i="41"/>
  <c r="AT250" i="41"/>
  <c r="AU250" i="41"/>
  <c r="AV250" i="41"/>
  <c r="AW250" i="41"/>
  <c r="AX250" i="41"/>
  <c r="AY250" i="41"/>
  <c r="AZ250" i="41"/>
  <c r="BA250" i="41"/>
  <c r="BB250" i="41"/>
  <c r="BC250" i="41"/>
  <c r="BD250" i="41"/>
  <c r="F251" i="41"/>
  <c r="G251" i="41"/>
  <c r="H251" i="41"/>
  <c r="I251" i="41"/>
  <c r="J251" i="41"/>
  <c r="K251" i="41"/>
  <c r="L251" i="41"/>
  <c r="M251" i="41"/>
  <c r="N251" i="41"/>
  <c r="O251" i="41"/>
  <c r="P251" i="41"/>
  <c r="Q251" i="41"/>
  <c r="R251" i="41"/>
  <c r="S251" i="41"/>
  <c r="T251" i="41"/>
  <c r="U251" i="41"/>
  <c r="V251" i="41"/>
  <c r="W251" i="41"/>
  <c r="X251" i="41"/>
  <c r="Y251" i="41"/>
  <c r="Z251" i="41"/>
  <c r="AA251" i="41"/>
  <c r="AB251" i="41"/>
  <c r="AC251" i="41"/>
  <c r="AD251" i="41"/>
  <c r="AE251" i="41"/>
  <c r="AF251" i="41"/>
  <c r="AG251" i="41"/>
  <c r="AH251" i="41"/>
  <c r="AI251" i="41"/>
  <c r="AJ251" i="41"/>
  <c r="AK251" i="41"/>
  <c r="AL251" i="41"/>
  <c r="AM251" i="41"/>
  <c r="AN251" i="41"/>
  <c r="AO251" i="41"/>
  <c r="AP251" i="41"/>
  <c r="AQ251" i="41"/>
  <c r="AR251" i="41"/>
  <c r="AS251" i="41"/>
  <c r="AT251" i="41"/>
  <c r="AU251" i="41"/>
  <c r="AV251" i="41"/>
  <c r="AW251" i="41"/>
  <c r="AX251" i="41"/>
  <c r="AY251" i="41"/>
  <c r="AZ251" i="41"/>
  <c r="BA251" i="41"/>
  <c r="BB251" i="41"/>
  <c r="BC251" i="41"/>
  <c r="BD251" i="41"/>
  <c r="F252" i="41"/>
  <c r="G252" i="41"/>
  <c r="H252" i="41"/>
  <c r="I252" i="41"/>
  <c r="J252" i="41"/>
  <c r="K252" i="41"/>
  <c r="L252" i="41"/>
  <c r="M252" i="41"/>
  <c r="N252" i="41"/>
  <c r="O252" i="41"/>
  <c r="P252" i="41"/>
  <c r="Q252" i="41"/>
  <c r="R252" i="41"/>
  <c r="S252" i="41"/>
  <c r="T252" i="41"/>
  <c r="U252" i="41"/>
  <c r="V252" i="41"/>
  <c r="W252" i="41"/>
  <c r="X252" i="41"/>
  <c r="Y252" i="41"/>
  <c r="Z252" i="41"/>
  <c r="AA252" i="41"/>
  <c r="AB252" i="41"/>
  <c r="AC252" i="41"/>
  <c r="AD252" i="41"/>
  <c r="AE252" i="41"/>
  <c r="AF252" i="41"/>
  <c r="AG252" i="41"/>
  <c r="AH252" i="41"/>
  <c r="AI252" i="41"/>
  <c r="AJ252" i="41"/>
  <c r="AK252" i="41"/>
  <c r="AL252" i="41"/>
  <c r="AM252" i="41"/>
  <c r="AN252" i="41"/>
  <c r="AO252" i="41"/>
  <c r="AP252" i="41"/>
  <c r="AQ252" i="41"/>
  <c r="AR252" i="41"/>
  <c r="AS252" i="41"/>
  <c r="AT252" i="41"/>
  <c r="AU252" i="41"/>
  <c r="AV252" i="41"/>
  <c r="AW252" i="41"/>
  <c r="AX252" i="41"/>
  <c r="AY252" i="41"/>
  <c r="AZ252" i="41"/>
  <c r="BA252" i="41"/>
  <c r="BB252" i="41"/>
  <c r="BC252" i="41"/>
  <c r="BD252" i="41"/>
  <c r="F253" i="41"/>
  <c r="G253" i="41"/>
  <c r="H253" i="41"/>
  <c r="I253" i="41"/>
  <c r="J253" i="41"/>
  <c r="K253" i="41"/>
  <c r="L253" i="41"/>
  <c r="M253" i="41"/>
  <c r="N253" i="41"/>
  <c r="O253" i="41"/>
  <c r="P253" i="41"/>
  <c r="Q253" i="41"/>
  <c r="R253" i="41"/>
  <c r="S253" i="41"/>
  <c r="T253" i="41"/>
  <c r="U253" i="41"/>
  <c r="V253" i="41"/>
  <c r="W253" i="41"/>
  <c r="X253" i="41"/>
  <c r="Y253" i="41"/>
  <c r="Z253" i="41"/>
  <c r="AA253" i="41"/>
  <c r="AB253" i="41"/>
  <c r="AC253" i="41"/>
  <c r="AD253" i="41"/>
  <c r="AE253" i="41"/>
  <c r="AF253" i="41"/>
  <c r="AG253" i="41"/>
  <c r="AH253" i="41"/>
  <c r="AI253" i="41"/>
  <c r="AJ253" i="41"/>
  <c r="AK253" i="41"/>
  <c r="AL253" i="41"/>
  <c r="AM253" i="41"/>
  <c r="AN253" i="41"/>
  <c r="AO253" i="41"/>
  <c r="AP253" i="41"/>
  <c r="AQ253" i="41"/>
  <c r="AR253" i="41"/>
  <c r="AS253" i="41"/>
  <c r="AT253" i="41"/>
  <c r="AU253" i="41"/>
  <c r="AV253" i="41"/>
  <c r="AW253" i="41"/>
  <c r="AX253" i="41"/>
  <c r="AY253" i="41"/>
  <c r="AZ253" i="41"/>
  <c r="BA253" i="41"/>
  <c r="BB253" i="41"/>
  <c r="BC253" i="41"/>
  <c r="BD253" i="41"/>
  <c r="F254" i="41"/>
  <c r="G254" i="41"/>
  <c r="H254" i="41"/>
  <c r="I254" i="41"/>
  <c r="J254" i="41"/>
  <c r="K254" i="41"/>
  <c r="L254" i="41"/>
  <c r="M254" i="41"/>
  <c r="N254" i="41"/>
  <c r="O254" i="41"/>
  <c r="P254" i="41"/>
  <c r="Q254" i="41"/>
  <c r="R254" i="41"/>
  <c r="S254" i="41"/>
  <c r="T254" i="41"/>
  <c r="U254" i="41"/>
  <c r="V254" i="41"/>
  <c r="W254" i="41"/>
  <c r="X254" i="41"/>
  <c r="Y254" i="41"/>
  <c r="Z254" i="41"/>
  <c r="AA254" i="41"/>
  <c r="AB254" i="41"/>
  <c r="AC254" i="41"/>
  <c r="AD254" i="41"/>
  <c r="AE254" i="41"/>
  <c r="AF254" i="41"/>
  <c r="AG254" i="41"/>
  <c r="AH254" i="41"/>
  <c r="AI254" i="41"/>
  <c r="AJ254" i="41"/>
  <c r="AK254" i="41"/>
  <c r="AL254" i="41"/>
  <c r="AM254" i="41"/>
  <c r="AN254" i="41"/>
  <c r="AO254" i="41"/>
  <c r="AP254" i="41"/>
  <c r="AQ254" i="41"/>
  <c r="AR254" i="41"/>
  <c r="AS254" i="41"/>
  <c r="AT254" i="41"/>
  <c r="AU254" i="41"/>
  <c r="AV254" i="41"/>
  <c r="AW254" i="41"/>
  <c r="AX254" i="41"/>
  <c r="AY254" i="41"/>
  <c r="AZ254" i="41"/>
  <c r="BA254" i="41"/>
  <c r="BB254" i="41"/>
  <c r="BC254" i="41"/>
  <c r="BD254" i="41"/>
  <c r="F255" i="41"/>
  <c r="G255" i="41"/>
  <c r="H255" i="41"/>
  <c r="I255" i="41"/>
  <c r="J255" i="41"/>
  <c r="K255" i="41"/>
  <c r="L255" i="41"/>
  <c r="M255" i="41"/>
  <c r="N255" i="41"/>
  <c r="O255" i="41"/>
  <c r="P255" i="41"/>
  <c r="Q255" i="41"/>
  <c r="R255" i="41"/>
  <c r="S255" i="41"/>
  <c r="T255" i="41"/>
  <c r="U255" i="41"/>
  <c r="V255" i="41"/>
  <c r="W255" i="41"/>
  <c r="X255" i="41"/>
  <c r="Y255" i="41"/>
  <c r="Z255" i="41"/>
  <c r="AA255" i="41"/>
  <c r="AB255" i="41"/>
  <c r="AC255" i="41"/>
  <c r="AD255" i="41"/>
  <c r="AE255" i="41"/>
  <c r="AF255" i="41"/>
  <c r="AG255" i="41"/>
  <c r="AH255" i="41"/>
  <c r="AI255" i="41"/>
  <c r="AJ255" i="41"/>
  <c r="AK255" i="41"/>
  <c r="AL255" i="41"/>
  <c r="AM255" i="41"/>
  <c r="AN255" i="41"/>
  <c r="AO255" i="41"/>
  <c r="AP255" i="41"/>
  <c r="AQ255" i="41"/>
  <c r="AR255" i="41"/>
  <c r="AS255" i="41"/>
  <c r="AT255" i="41"/>
  <c r="AU255" i="41"/>
  <c r="AV255" i="41"/>
  <c r="AW255" i="41"/>
  <c r="AX255" i="41"/>
  <c r="AY255" i="41"/>
  <c r="AZ255" i="41"/>
  <c r="BA255" i="41"/>
  <c r="BB255" i="41"/>
  <c r="BC255" i="41"/>
  <c r="BD255" i="41"/>
  <c r="F256" i="41"/>
  <c r="G256" i="41"/>
  <c r="H256" i="41"/>
  <c r="I256" i="41"/>
  <c r="J256" i="41"/>
  <c r="K256" i="41"/>
  <c r="L256" i="41"/>
  <c r="M256" i="41"/>
  <c r="N256" i="41"/>
  <c r="O256" i="41"/>
  <c r="P256" i="41"/>
  <c r="Q256" i="41"/>
  <c r="R256" i="41"/>
  <c r="S256" i="41"/>
  <c r="T256" i="41"/>
  <c r="U256" i="41"/>
  <c r="V256" i="41"/>
  <c r="W256" i="41"/>
  <c r="X256" i="41"/>
  <c r="Y256" i="41"/>
  <c r="Z256" i="41"/>
  <c r="AA256" i="41"/>
  <c r="AB256" i="41"/>
  <c r="AC256" i="41"/>
  <c r="AD256" i="41"/>
  <c r="AE256" i="41"/>
  <c r="AF256" i="41"/>
  <c r="AG256" i="41"/>
  <c r="AH256" i="41"/>
  <c r="AI256" i="41"/>
  <c r="AJ256" i="41"/>
  <c r="AK256" i="41"/>
  <c r="AL256" i="41"/>
  <c r="AM256" i="41"/>
  <c r="AN256" i="41"/>
  <c r="AO256" i="41"/>
  <c r="AP256" i="41"/>
  <c r="AQ256" i="41"/>
  <c r="AR256" i="41"/>
  <c r="AS256" i="41"/>
  <c r="AT256" i="41"/>
  <c r="AU256" i="41"/>
  <c r="AV256" i="41"/>
  <c r="AW256" i="41"/>
  <c r="AX256" i="41"/>
  <c r="AY256" i="41"/>
  <c r="AZ256" i="41"/>
  <c r="BA256" i="41"/>
  <c r="BB256" i="41"/>
  <c r="BC256" i="41"/>
  <c r="BD256" i="41"/>
  <c r="F257" i="41"/>
  <c r="G257" i="41"/>
  <c r="H257" i="41"/>
  <c r="I257" i="41"/>
  <c r="J257" i="41"/>
  <c r="K257" i="41"/>
  <c r="L257" i="41"/>
  <c r="M257" i="41"/>
  <c r="N257" i="41"/>
  <c r="O257" i="41"/>
  <c r="P257" i="41"/>
  <c r="Q257" i="41"/>
  <c r="R257" i="41"/>
  <c r="S257" i="41"/>
  <c r="T257" i="41"/>
  <c r="U257" i="41"/>
  <c r="V257" i="41"/>
  <c r="W257" i="41"/>
  <c r="X257" i="41"/>
  <c r="Y257" i="41"/>
  <c r="Z257" i="41"/>
  <c r="AA257" i="41"/>
  <c r="AB257" i="41"/>
  <c r="AC257" i="41"/>
  <c r="AD257" i="41"/>
  <c r="AE257" i="41"/>
  <c r="AF257" i="41"/>
  <c r="AG257" i="41"/>
  <c r="AH257" i="41"/>
  <c r="AI257" i="41"/>
  <c r="AJ257" i="41"/>
  <c r="AK257" i="41"/>
  <c r="AL257" i="41"/>
  <c r="AM257" i="41"/>
  <c r="AN257" i="41"/>
  <c r="AO257" i="41"/>
  <c r="AP257" i="41"/>
  <c r="AQ257" i="41"/>
  <c r="AR257" i="41"/>
  <c r="AS257" i="41"/>
  <c r="AT257" i="41"/>
  <c r="AU257" i="41"/>
  <c r="AV257" i="41"/>
  <c r="AW257" i="41"/>
  <c r="AX257" i="41"/>
  <c r="AY257" i="41"/>
  <c r="AZ257" i="41"/>
  <c r="BA257" i="41"/>
  <c r="BB257" i="41"/>
  <c r="BC257" i="41"/>
  <c r="BD257" i="41"/>
  <c r="F258" i="41"/>
  <c r="G258" i="41"/>
  <c r="H258" i="41"/>
  <c r="I258" i="41"/>
  <c r="J258" i="41"/>
  <c r="K258" i="41"/>
  <c r="L258" i="41"/>
  <c r="M258" i="41"/>
  <c r="N258" i="41"/>
  <c r="O258" i="41"/>
  <c r="P258" i="41"/>
  <c r="Q258" i="41"/>
  <c r="R258" i="41"/>
  <c r="S258" i="41"/>
  <c r="T258" i="41"/>
  <c r="U258" i="41"/>
  <c r="V258" i="41"/>
  <c r="W258" i="41"/>
  <c r="X258" i="41"/>
  <c r="Y258" i="41"/>
  <c r="Z258" i="41"/>
  <c r="AA258" i="41"/>
  <c r="AB258" i="41"/>
  <c r="AC258" i="41"/>
  <c r="AD258" i="41"/>
  <c r="AE258" i="41"/>
  <c r="AF258" i="41"/>
  <c r="AG258" i="41"/>
  <c r="AH258" i="41"/>
  <c r="AI258" i="41"/>
  <c r="AJ258" i="41"/>
  <c r="AK258" i="41"/>
  <c r="AL258" i="41"/>
  <c r="AM258" i="41"/>
  <c r="AN258" i="41"/>
  <c r="AO258" i="41"/>
  <c r="AP258" i="41"/>
  <c r="AQ258" i="41"/>
  <c r="AR258" i="41"/>
  <c r="AS258" i="41"/>
  <c r="AT258" i="41"/>
  <c r="AU258" i="41"/>
  <c r="AV258" i="41"/>
  <c r="AW258" i="41"/>
  <c r="AX258" i="41"/>
  <c r="AY258" i="41"/>
  <c r="AZ258" i="41"/>
  <c r="BA258" i="41"/>
  <c r="BB258" i="41"/>
  <c r="BC258" i="41"/>
  <c r="BD258" i="41"/>
  <c r="F259" i="41"/>
  <c r="G259" i="41"/>
  <c r="H259" i="41"/>
  <c r="I259" i="41"/>
  <c r="J259" i="41"/>
  <c r="K259" i="41"/>
  <c r="L259" i="41"/>
  <c r="M259" i="41"/>
  <c r="N259" i="41"/>
  <c r="O259" i="41"/>
  <c r="P259" i="41"/>
  <c r="Q259" i="41"/>
  <c r="R259" i="41"/>
  <c r="S259" i="41"/>
  <c r="T259" i="41"/>
  <c r="U259" i="41"/>
  <c r="V259" i="41"/>
  <c r="W259" i="41"/>
  <c r="X259" i="41"/>
  <c r="Y259" i="41"/>
  <c r="Z259" i="41"/>
  <c r="AA259" i="41"/>
  <c r="AB259" i="41"/>
  <c r="AC259" i="41"/>
  <c r="AD259" i="41"/>
  <c r="AE259" i="41"/>
  <c r="AF259" i="41"/>
  <c r="AG259" i="41"/>
  <c r="AH259" i="41"/>
  <c r="AI259" i="41"/>
  <c r="AJ259" i="41"/>
  <c r="AK259" i="41"/>
  <c r="AL259" i="41"/>
  <c r="AM259" i="41"/>
  <c r="AN259" i="41"/>
  <c r="AO259" i="41"/>
  <c r="AP259" i="41"/>
  <c r="AQ259" i="41"/>
  <c r="AR259" i="41"/>
  <c r="AS259" i="41"/>
  <c r="AT259" i="41"/>
  <c r="AU259" i="41"/>
  <c r="AV259" i="41"/>
  <c r="AW259" i="41"/>
  <c r="AX259" i="41"/>
  <c r="AY259" i="41"/>
  <c r="AZ259" i="41"/>
  <c r="BA259" i="41"/>
  <c r="BB259" i="41"/>
  <c r="BC259" i="41"/>
  <c r="BD259" i="41"/>
  <c r="F260" i="41"/>
  <c r="G260" i="41"/>
  <c r="H260" i="41"/>
  <c r="I260" i="41"/>
  <c r="J260" i="41"/>
  <c r="K260" i="41"/>
  <c r="L260" i="41"/>
  <c r="M260" i="41"/>
  <c r="N260" i="41"/>
  <c r="O260" i="41"/>
  <c r="P260" i="41"/>
  <c r="Q260" i="41"/>
  <c r="R260" i="41"/>
  <c r="S260" i="41"/>
  <c r="T260" i="41"/>
  <c r="U260" i="41"/>
  <c r="V260" i="41"/>
  <c r="W260" i="41"/>
  <c r="X260" i="41"/>
  <c r="Y260" i="41"/>
  <c r="Z260" i="41"/>
  <c r="AA260" i="41"/>
  <c r="AB260" i="41"/>
  <c r="AC260" i="41"/>
  <c r="AD260" i="41"/>
  <c r="AE260" i="41"/>
  <c r="AF260" i="41"/>
  <c r="AG260" i="41"/>
  <c r="AH260" i="41"/>
  <c r="AI260" i="41"/>
  <c r="AJ260" i="41"/>
  <c r="AK260" i="41"/>
  <c r="AL260" i="41"/>
  <c r="AM260" i="41"/>
  <c r="AN260" i="41"/>
  <c r="AO260" i="41"/>
  <c r="AP260" i="41"/>
  <c r="AQ260" i="41"/>
  <c r="AR260" i="41"/>
  <c r="AS260" i="41"/>
  <c r="AT260" i="41"/>
  <c r="AU260" i="41"/>
  <c r="AV260" i="41"/>
  <c r="AW260" i="41"/>
  <c r="AX260" i="41"/>
  <c r="AY260" i="41"/>
  <c r="AZ260" i="41"/>
  <c r="BA260" i="41"/>
  <c r="BB260" i="41"/>
  <c r="BC260" i="41"/>
  <c r="BD260" i="41"/>
  <c r="F261" i="41"/>
  <c r="G261" i="41"/>
  <c r="H261" i="41"/>
  <c r="I261" i="41"/>
  <c r="J261" i="41"/>
  <c r="K261" i="41"/>
  <c r="L261" i="41"/>
  <c r="M261" i="41"/>
  <c r="N261" i="41"/>
  <c r="O261" i="41"/>
  <c r="P261" i="41"/>
  <c r="Q261" i="41"/>
  <c r="R261" i="41"/>
  <c r="S261" i="41"/>
  <c r="T261" i="41"/>
  <c r="U261" i="41"/>
  <c r="V261" i="41"/>
  <c r="W261" i="41"/>
  <c r="X261" i="41"/>
  <c r="Y261" i="41"/>
  <c r="Z261" i="41"/>
  <c r="AA261" i="41"/>
  <c r="AB261" i="41"/>
  <c r="AC261" i="41"/>
  <c r="AD261" i="41"/>
  <c r="AE261" i="41"/>
  <c r="AF261" i="41"/>
  <c r="AG261" i="41"/>
  <c r="AH261" i="41"/>
  <c r="AI261" i="41"/>
  <c r="AJ261" i="41"/>
  <c r="AK261" i="41"/>
  <c r="AL261" i="41"/>
  <c r="AM261" i="41"/>
  <c r="AN261" i="41"/>
  <c r="AO261" i="41"/>
  <c r="AP261" i="41"/>
  <c r="AQ261" i="41"/>
  <c r="AR261" i="41"/>
  <c r="AS261" i="41"/>
  <c r="AT261" i="41"/>
  <c r="AU261" i="41"/>
  <c r="AV261" i="41"/>
  <c r="AW261" i="41"/>
  <c r="AX261" i="41"/>
  <c r="AY261" i="41"/>
  <c r="AZ261" i="41"/>
  <c r="BA261" i="41"/>
  <c r="BB261" i="41"/>
  <c r="BC261" i="41"/>
  <c r="BD261" i="41"/>
  <c r="F262" i="41"/>
  <c r="G262" i="41"/>
  <c r="H262" i="41"/>
  <c r="I262" i="41"/>
  <c r="J262" i="41"/>
  <c r="K262" i="41"/>
  <c r="L262" i="41"/>
  <c r="M262" i="41"/>
  <c r="N262" i="41"/>
  <c r="O262" i="41"/>
  <c r="P262" i="41"/>
  <c r="Q262" i="41"/>
  <c r="R262" i="41"/>
  <c r="S262" i="41"/>
  <c r="T262" i="41"/>
  <c r="U262" i="41"/>
  <c r="V262" i="41"/>
  <c r="W262" i="41"/>
  <c r="X262" i="41"/>
  <c r="Y262" i="41"/>
  <c r="Z262" i="41"/>
  <c r="AA262" i="41"/>
  <c r="AB262" i="41"/>
  <c r="AC262" i="41"/>
  <c r="AD262" i="41"/>
  <c r="AE262" i="41"/>
  <c r="AF262" i="41"/>
  <c r="AG262" i="41"/>
  <c r="AH262" i="41"/>
  <c r="AI262" i="41"/>
  <c r="AJ262" i="41"/>
  <c r="AK262" i="41"/>
  <c r="AL262" i="41"/>
  <c r="AM262" i="41"/>
  <c r="AN262" i="41"/>
  <c r="AO262" i="41"/>
  <c r="AP262" i="41"/>
  <c r="AQ262" i="41"/>
  <c r="AR262" i="41"/>
  <c r="AS262" i="41"/>
  <c r="AT262" i="41"/>
  <c r="AU262" i="41"/>
  <c r="AV262" i="41"/>
  <c r="AW262" i="41"/>
  <c r="AX262" i="41"/>
  <c r="AY262" i="41"/>
  <c r="AZ262" i="41"/>
  <c r="BA262" i="41"/>
  <c r="BB262" i="41"/>
  <c r="BC262" i="41"/>
  <c r="BD262" i="41"/>
  <c r="F263" i="41"/>
  <c r="G263" i="41"/>
  <c r="H263" i="41"/>
  <c r="I263" i="41"/>
  <c r="J263" i="41"/>
  <c r="K263" i="41"/>
  <c r="L263" i="41"/>
  <c r="M263" i="41"/>
  <c r="N263" i="41"/>
  <c r="O263" i="41"/>
  <c r="P263" i="41"/>
  <c r="Q263" i="41"/>
  <c r="R263" i="41"/>
  <c r="S263" i="41"/>
  <c r="T263" i="41"/>
  <c r="U263" i="41"/>
  <c r="V263" i="41"/>
  <c r="W263" i="41"/>
  <c r="X263" i="41"/>
  <c r="Y263" i="41"/>
  <c r="Z263" i="41"/>
  <c r="AA263" i="41"/>
  <c r="AB263" i="41"/>
  <c r="AC263" i="41"/>
  <c r="AD263" i="41"/>
  <c r="AE263" i="41"/>
  <c r="AF263" i="41"/>
  <c r="AG263" i="41"/>
  <c r="AH263" i="41"/>
  <c r="AI263" i="41"/>
  <c r="AJ263" i="41"/>
  <c r="AK263" i="41"/>
  <c r="AL263" i="41"/>
  <c r="AM263" i="41"/>
  <c r="AN263" i="41"/>
  <c r="AO263" i="41"/>
  <c r="AP263" i="41"/>
  <c r="AQ263" i="41"/>
  <c r="AR263" i="41"/>
  <c r="AS263" i="41"/>
  <c r="AT263" i="41"/>
  <c r="AU263" i="41"/>
  <c r="AV263" i="41"/>
  <c r="AW263" i="41"/>
  <c r="AX263" i="41"/>
  <c r="AY263" i="41"/>
  <c r="AZ263" i="41"/>
  <c r="BA263" i="41"/>
  <c r="BB263" i="41"/>
  <c r="BC263" i="41"/>
  <c r="BD263" i="41"/>
  <c r="F264" i="41"/>
  <c r="G264" i="41"/>
  <c r="H264" i="41"/>
  <c r="I264" i="41"/>
  <c r="J264" i="41"/>
  <c r="K264" i="41"/>
  <c r="L264" i="41"/>
  <c r="M264" i="41"/>
  <c r="N264" i="41"/>
  <c r="O264" i="41"/>
  <c r="P264" i="41"/>
  <c r="Q264" i="41"/>
  <c r="R264" i="41"/>
  <c r="S264" i="41"/>
  <c r="T264" i="41"/>
  <c r="U264" i="41"/>
  <c r="V264" i="41"/>
  <c r="W264" i="41"/>
  <c r="X264" i="41"/>
  <c r="Y264" i="41"/>
  <c r="Z264" i="41"/>
  <c r="AA264" i="41"/>
  <c r="AB264" i="41"/>
  <c r="AC264" i="41"/>
  <c r="AD264" i="41"/>
  <c r="AE264" i="41"/>
  <c r="AF264" i="41"/>
  <c r="AG264" i="41"/>
  <c r="AH264" i="41"/>
  <c r="AI264" i="41"/>
  <c r="AJ264" i="41"/>
  <c r="AK264" i="41"/>
  <c r="AL264" i="41"/>
  <c r="AM264" i="41"/>
  <c r="AN264" i="41"/>
  <c r="AO264" i="41"/>
  <c r="AP264" i="41"/>
  <c r="AQ264" i="41"/>
  <c r="AR264" i="41"/>
  <c r="AS264" i="41"/>
  <c r="AT264" i="41"/>
  <c r="AU264" i="41"/>
  <c r="AV264" i="41"/>
  <c r="AW264" i="41"/>
  <c r="AX264" i="41"/>
  <c r="AY264" i="41"/>
  <c r="AZ264" i="41"/>
  <c r="BA264" i="41"/>
  <c r="BB264" i="41"/>
  <c r="BC264" i="41"/>
  <c r="BD264" i="41"/>
  <c r="F265" i="41"/>
  <c r="G265" i="41"/>
  <c r="H265" i="41"/>
  <c r="I265" i="41"/>
  <c r="J265" i="41"/>
  <c r="K265" i="41"/>
  <c r="L265" i="41"/>
  <c r="M265" i="41"/>
  <c r="N265" i="41"/>
  <c r="O265" i="41"/>
  <c r="P265" i="41"/>
  <c r="Q265" i="41"/>
  <c r="R265" i="41"/>
  <c r="S265" i="41"/>
  <c r="T265" i="41"/>
  <c r="U265" i="41"/>
  <c r="V265" i="41"/>
  <c r="W265" i="41"/>
  <c r="X265" i="41"/>
  <c r="Y265" i="41"/>
  <c r="Z265" i="41"/>
  <c r="AA265" i="41"/>
  <c r="AB265" i="41"/>
  <c r="AC265" i="41"/>
  <c r="AD265" i="41"/>
  <c r="AE265" i="41"/>
  <c r="AF265" i="41"/>
  <c r="AG265" i="41"/>
  <c r="AH265" i="41"/>
  <c r="AI265" i="41"/>
  <c r="AJ265" i="41"/>
  <c r="AK265" i="41"/>
  <c r="AL265" i="41"/>
  <c r="AM265" i="41"/>
  <c r="AN265" i="41"/>
  <c r="AO265" i="41"/>
  <c r="AP265" i="41"/>
  <c r="AQ265" i="41"/>
  <c r="AR265" i="41"/>
  <c r="AS265" i="41"/>
  <c r="AT265" i="41"/>
  <c r="AU265" i="41"/>
  <c r="AV265" i="41"/>
  <c r="AW265" i="41"/>
  <c r="AX265" i="41"/>
  <c r="AY265" i="41"/>
  <c r="AZ265" i="41"/>
  <c r="BA265" i="41"/>
  <c r="BB265" i="41"/>
  <c r="BC265" i="41"/>
  <c r="BD265" i="41"/>
  <c r="F266" i="41"/>
  <c r="G266" i="41"/>
  <c r="H266" i="41"/>
  <c r="I266" i="41"/>
  <c r="J266" i="41"/>
  <c r="K266" i="41"/>
  <c r="L266" i="41"/>
  <c r="M266" i="41"/>
  <c r="N266" i="41"/>
  <c r="O266" i="41"/>
  <c r="P266" i="41"/>
  <c r="Q266" i="41"/>
  <c r="R266" i="41"/>
  <c r="S266" i="41"/>
  <c r="T266" i="41"/>
  <c r="U266" i="41"/>
  <c r="V266" i="41"/>
  <c r="W266" i="41"/>
  <c r="X266" i="41"/>
  <c r="Y266" i="41"/>
  <c r="Z266" i="41"/>
  <c r="AA266" i="41"/>
  <c r="AB266" i="41"/>
  <c r="AC266" i="41"/>
  <c r="AD266" i="41"/>
  <c r="AE266" i="41"/>
  <c r="AF266" i="41"/>
  <c r="AG266" i="41"/>
  <c r="AH266" i="41"/>
  <c r="AI266" i="41"/>
  <c r="AJ266" i="41"/>
  <c r="AK266" i="41"/>
  <c r="AL266" i="41"/>
  <c r="AM266" i="41"/>
  <c r="AN266" i="41"/>
  <c r="AO266" i="41"/>
  <c r="AP266" i="41"/>
  <c r="AQ266" i="41"/>
  <c r="AR266" i="41"/>
  <c r="AS266" i="41"/>
  <c r="AT266" i="41"/>
  <c r="AU266" i="41"/>
  <c r="AV266" i="41"/>
  <c r="AW266" i="41"/>
  <c r="AX266" i="41"/>
  <c r="AY266" i="41"/>
  <c r="AZ266" i="41"/>
  <c r="BA266" i="41"/>
  <c r="BB266" i="41"/>
  <c r="BC266" i="41"/>
  <c r="BD266" i="41"/>
  <c r="F267" i="41"/>
  <c r="G267" i="41"/>
  <c r="H267" i="41"/>
  <c r="I267" i="41"/>
  <c r="J267" i="41"/>
  <c r="K267" i="41"/>
  <c r="L267" i="41"/>
  <c r="M267" i="41"/>
  <c r="N267" i="41"/>
  <c r="O267" i="41"/>
  <c r="P267" i="41"/>
  <c r="Q267" i="41"/>
  <c r="R267" i="41"/>
  <c r="S267" i="41"/>
  <c r="T267" i="41"/>
  <c r="U267" i="41"/>
  <c r="V267" i="41"/>
  <c r="W267" i="41"/>
  <c r="X267" i="41"/>
  <c r="Y267" i="41"/>
  <c r="Z267" i="41"/>
  <c r="AA267" i="41"/>
  <c r="AB267" i="41"/>
  <c r="AC267" i="41"/>
  <c r="AD267" i="41"/>
  <c r="AE267" i="41"/>
  <c r="AF267" i="41"/>
  <c r="AG267" i="41"/>
  <c r="AH267" i="41"/>
  <c r="AI267" i="41"/>
  <c r="AJ267" i="41"/>
  <c r="AK267" i="41"/>
  <c r="AL267" i="41"/>
  <c r="AM267" i="41"/>
  <c r="AN267" i="41"/>
  <c r="AO267" i="41"/>
  <c r="AP267" i="41"/>
  <c r="AQ267" i="41"/>
  <c r="AR267" i="41"/>
  <c r="AS267" i="41"/>
  <c r="AT267" i="41"/>
  <c r="AU267" i="41"/>
  <c r="AV267" i="41"/>
  <c r="AW267" i="41"/>
  <c r="AX267" i="41"/>
  <c r="AY267" i="41"/>
  <c r="AZ267" i="41"/>
  <c r="BA267" i="41"/>
  <c r="BB267" i="41"/>
  <c r="BC267" i="41"/>
  <c r="BD267" i="41"/>
  <c r="F268" i="41"/>
  <c r="G268" i="41"/>
  <c r="H268" i="41"/>
  <c r="I268" i="41"/>
  <c r="J268" i="41"/>
  <c r="K268" i="41"/>
  <c r="L268" i="41"/>
  <c r="M268" i="41"/>
  <c r="N268" i="41"/>
  <c r="O268" i="41"/>
  <c r="P268" i="41"/>
  <c r="Q268" i="41"/>
  <c r="R268" i="41"/>
  <c r="S268" i="41"/>
  <c r="T268" i="41"/>
  <c r="U268" i="41"/>
  <c r="V268" i="41"/>
  <c r="W268" i="41"/>
  <c r="X268" i="41"/>
  <c r="Y268" i="41"/>
  <c r="Z268" i="41"/>
  <c r="AA268" i="41"/>
  <c r="AB268" i="41"/>
  <c r="AC268" i="41"/>
  <c r="AD268" i="41"/>
  <c r="AE268" i="41"/>
  <c r="AF268" i="41"/>
  <c r="AG268" i="41"/>
  <c r="AH268" i="41"/>
  <c r="AI268" i="41"/>
  <c r="AJ268" i="41"/>
  <c r="AK268" i="41"/>
  <c r="AL268" i="41"/>
  <c r="AM268" i="41"/>
  <c r="AN268" i="41"/>
  <c r="AO268" i="41"/>
  <c r="AP268" i="41"/>
  <c r="AQ268" i="41"/>
  <c r="AR268" i="41"/>
  <c r="AS268" i="41"/>
  <c r="AT268" i="41"/>
  <c r="AU268" i="41"/>
  <c r="AV268" i="41"/>
  <c r="AW268" i="41"/>
  <c r="AX268" i="41"/>
  <c r="AY268" i="41"/>
  <c r="AZ268" i="41"/>
  <c r="BA268" i="41"/>
  <c r="BB268" i="41"/>
  <c r="BC268" i="41"/>
  <c r="BD268" i="41"/>
  <c r="F269" i="41"/>
  <c r="G269" i="41"/>
  <c r="H269" i="41"/>
  <c r="I269" i="41"/>
  <c r="J269" i="41"/>
  <c r="K269" i="41"/>
  <c r="L269" i="41"/>
  <c r="M269" i="41"/>
  <c r="N269" i="41"/>
  <c r="O269" i="41"/>
  <c r="P269" i="41"/>
  <c r="Q269" i="41"/>
  <c r="R269" i="41"/>
  <c r="S269" i="41"/>
  <c r="T269" i="41"/>
  <c r="U269" i="41"/>
  <c r="V269" i="41"/>
  <c r="W269" i="41"/>
  <c r="X269" i="41"/>
  <c r="Y269" i="41"/>
  <c r="Z269" i="41"/>
  <c r="AA269" i="41"/>
  <c r="AB269" i="41"/>
  <c r="AC269" i="41"/>
  <c r="AD269" i="41"/>
  <c r="AE269" i="41"/>
  <c r="AF269" i="41"/>
  <c r="AG269" i="41"/>
  <c r="AH269" i="41"/>
  <c r="AI269" i="41"/>
  <c r="AJ269" i="41"/>
  <c r="AK269" i="41"/>
  <c r="AL269" i="41"/>
  <c r="AM269" i="41"/>
  <c r="AN269" i="41"/>
  <c r="AO269" i="41"/>
  <c r="AP269" i="41"/>
  <c r="AQ269" i="41"/>
  <c r="AR269" i="41"/>
  <c r="AS269" i="41"/>
  <c r="AT269" i="41"/>
  <c r="AU269" i="41"/>
  <c r="AV269" i="41"/>
  <c r="AW269" i="41"/>
  <c r="AX269" i="41"/>
  <c r="AY269" i="41"/>
  <c r="AZ269" i="41"/>
  <c r="BA269" i="41"/>
  <c r="BB269" i="41"/>
  <c r="BC269" i="41"/>
  <c r="BD269" i="41"/>
  <c r="F270" i="41"/>
  <c r="G270" i="41"/>
  <c r="H270" i="41"/>
  <c r="I270" i="41"/>
  <c r="J270" i="41"/>
  <c r="K270" i="41"/>
  <c r="L270" i="41"/>
  <c r="M270" i="41"/>
  <c r="N270" i="41"/>
  <c r="O270" i="41"/>
  <c r="P270" i="41"/>
  <c r="Q270" i="41"/>
  <c r="R270" i="41"/>
  <c r="S270" i="41"/>
  <c r="T270" i="41"/>
  <c r="U270" i="41"/>
  <c r="V270" i="41"/>
  <c r="W270" i="41"/>
  <c r="X270" i="41"/>
  <c r="Y270" i="41"/>
  <c r="Z270" i="41"/>
  <c r="AA270" i="41"/>
  <c r="AB270" i="41"/>
  <c r="AC270" i="41"/>
  <c r="AD270" i="41"/>
  <c r="AE270" i="41"/>
  <c r="AF270" i="41"/>
  <c r="AG270" i="41"/>
  <c r="AH270" i="41"/>
  <c r="AI270" i="41"/>
  <c r="AJ270" i="41"/>
  <c r="AK270" i="41"/>
  <c r="AL270" i="41"/>
  <c r="AM270" i="41"/>
  <c r="AN270" i="41"/>
  <c r="AO270" i="41"/>
  <c r="AP270" i="41"/>
  <c r="AQ270" i="41"/>
  <c r="AR270" i="41"/>
  <c r="AS270" i="41"/>
  <c r="AT270" i="41"/>
  <c r="AU270" i="41"/>
  <c r="AV270" i="41"/>
  <c r="AW270" i="41"/>
  <c r="AX270" i="41"/>
  <c r="AY270" i="41"/>
  <c r="AZ270" i="41"/>
  <c r="BA270" i="41"/>
  <c r="BB270" i="41"/>
  <c r="BC270" i="41"/>
  <c r="BD270" i="41"/>
  <c r="F271" i="41"/>
  <c r="G271" i="41"/>
  <c r="H271" i="41"/>
  <c r="I271" i="41"/>
  <c r="J271" i="41"/>
  <c r="K271" i="41"/>
  <c r="L271" i="41"/>
  <c r="M271" i="41"/>
  <c r="N271" i="41"/>
  <c r="O271" i="41"/>
  <c r="P271" i="41"/>
  <c r="Q271" i="41"/>
  <c r="R271" i="41"/>
  <c r="S271" i="41"/>
  <c r="T271" i="41"/>
  <c r="U271" i="41"/>
  <c r="V271" i="41"/>
  <c r="W271" i="41"/>
  <c r="X271" i="41"/>
  <c r="Y271" i="41"/>
  <c r="Z271" i="41"/>
  <c r="AA271" i="41"/>
  <c r="AB271" i="41"/>
  <c r="AC271" i="41"/>
  <c r="AD271" i="41"/>
  <c r="AE271" i="41"/>
  <c r="AF271" i="41"/>
  <c r="AG271" i="41"/>
  <c r="AH271" i="41"/>
  <c r="AI271" i="41"/>
  <c r="AJ271" i="41"/>
  <c r="AK271" i="41"/>
  <c r="AL271" i="41"/>
  <c r="AM271" i="41"/>
  <c r="AN271" i="41"/>
  <c r="AO271" i="41"/>
  <c r="AP271" i="41"/>
  <c r="AQ271" i="41"/>
  <c r="AR271" i="41"/>
  <c r="AS271" i="41"/>
  <c r="AT271" i="41"/>
  <c r="AU271" i="41"/>
  <c r="AV271" i="41"/>
  <c r="AW271" i="41"/>
  <c r="AX271" i="41"/>
  <c r="AY271" i="41"/>
  <c r="AZ271" i="41"/>
  <c r="BA271" i="41"/>
  <c r="BB271" i="41"/>
  <c r="BC271" i="41"/>
  <c r="BD271" i="41"/>
  <c r="F272" i="41"/>
  <c r="G272" i="41"/>
  <c r="H272" i="41"/>
  <c r="I272" i="41"/>
  <c r="J272" i="41"/>
  <c r="K272" i="41"/>
  <c r="L272" i="41"/>
  <c r="M272" i="41"/>
  <c r="N272" i="41"/>
  <c r="O272" i="41"/>
  <c r="P272" i="41"/>
  <c r="Q272" i="41"/>
  <c r="R272" i="41"/>
  <c r="S272" i="41"/>
  <c r="T272" i="41"/>
  <c r="U272" i="41"/>
  <c r="V272" i="41"/>
  <c r="W272" i="41"/>
  <c r="X272" i="41"/>
  <c r="Y272" i="41"/>
  <c r="Z272" i="41"/>
  <c r="AA272" i="41"/>
  <c r="AB272" i="41"/>
  <c r="AC272" i="41"/>
  <c r="AD272" i="41"/>
  <c r="AE272" i="41"/>
  <c r="AF272" i="41"/>
  <c r="AG272" i="41"/>
  <c r="AH272" i="41"/>
  <c r="AI272" i="41"/>
  <c r="AJ272" i="41"/>
  <c r="AK272" i="41"/>
  <c r="AL272" i="41"/>
  <c r="AM272" i="41"/>
  <c r="AN272" i="41"/>
  <c r="AO272" i="41"/>
  <c r="AP272" i="41"/>
  <c r="AQ272" i="41"/>
  <c r="AR272" i="41"/>
  <c r="AS272" i="41"/>
  <c r="AT272" i="41"/>
  <c r="AU272" i="41"/>
  <c r="AV272" i="41"/>
  <c r="AW272" i="41"/>
  <c r="AX272" i="41"/>
  <c r="AY272" i="41"/>
  <c r="AZ272" i="41"/>
  <c r="BA272" i="41"/>
  <c r="BB272" i="41"/>
  <c r="BC272" i="41"/>
  <c r="BD272" i="41"/>
  <c r="F273" i="41"/>
  <c r="G273" i="41"/>
  <c r="H273" i="41"/>
  <c r="I273" i="41"/>
  <c r="J273" i="41"/>
  <c r="K273" i="41"/>
  <c r="L273" i="41"/>
  <c r="M273" i="41"/>
  <c r="N273" i="41"/>
  <c r="O273" i="41"/>
  <c r="P273" i="41"/>
  <c r="Q273" i="41"/>
  <c r="R273" i="41"/>
  <c r="S273" i="41"/>
  <c r="T273" i="41"/>
  <c r="U273" i="41"/>
  <c r="V273" i="41"/>
  <c r="W273" i="41"/>
  <c r="X273" i="41"/>
  <c r="Y273" i="41"/>
  <c r="Z273" i="41"/>
  <c r="AA273" i="41"/>
  <c r="AB273" i="41"/>
  <c r="AC273" i="41"/>
  <c r="AD273" i="41"/>
  <c r="AE273" i="41"/>
  <c r="AF273" i="41"/>
  <c r="AG273" i="41"/>
  <c r="AH273" i="41"/>
  <c r="AI273" i="41"/>
  <c r="AJ273" i="41"/>
  <c r="AK273" i="41"/>
  <c r="AL273" i="41"/>
  <c r="AM273" i="41"/>
  <c r="AN273" i="41"/>
  <c r="AO273" i="41"/>
  <c r="AP273" i="41"/>
  <c r="AQ273" i="41"/>
  <c r="AR273" i="41"/>
  <c r="AS273" i="41"/>
  <c r="AT273" i="41"/>
  <c r="AU273" i="41"/>
  <c r="AV273" i="41"/>
  <c r="AW273" i="41"/>
  <c r="AX273" i="41"/>
  <c r="AY273" i="41"/>
  <c r="AZ273" i="41"/>
  <c r="BA273" i="41"/>
  <c r="BB273" i="41"/>
  <c r="BC273" i="41"/>
  <c r="BD273" i="41"/>
  <c r="F274" i="41"/>
  <c r="G274" i="41"/>
  <c r="H274" i="41"/>
  <c r="I274" i="41"/>
  <c r="J274" i="41"/>
  <c r="K274" i="41"/>
  <c r="L274" i="41"/>
  <c r="M274" i="41"/>
  <c r="N274" i="41"/>
  <c r="O274" i="41"/>
  <c r="P274" i="41"/>
  <c r="Q274" i="41"/>
  <c r="R274" i="41"/>
  <c r="S274" i="41"/>
  <c r="T274" i="41"/>
  <c r="U274" i="41"/>
  <c r="V274" i="41"/>
  <c r="W274" i="41"/>
  <c r="X274" i="41"/>
  <c r="Y274" i="41"/>
  <c r="Z274" i="41"/>
  <c r="AA274" i="41"/>
  <c r="AB274" i="41"/>
  <c r="AC274" i="41"/>
  <c r="AD274" i="41"/>
  <c r="AE274" i="41"/>
  <c r="AF274" i="41"/>
  <c r="AG274" i="41"/>
  <c r="AH274" i="41"/>
  <c r="AI274" i="41"/>
  <c r="AJ274" i="41"/>
  <c r="AK274" i="41"/>
  <c r="AL274" i="41"/>
  <c r="AM274" i="41"/>
  <c r="AN274" i="41"/>
  <c r="AO274" i="41"/>
  <c r="AP274" i="41"/>
  <c r="AQ274" i="41"/>
  <c r="AR274" i="41"/>
  <c r="AS274" i="41"/>
  <c r="AT274" i="41"/>
  <c r="AU274" i="41"/>
  <c r="AV274" i="41"/>
  <c r="AW274" i="41"/>
  <c r="AX274" i="41"/>
  <c r="AY274" i="41"/>
  <c r="AZ274" i="41"/>
  <c r="BA274" i="41"/>
  <c r="BB274" i="41"/>
  <c r="BC274" i="41"/>
  <c r="BD274" i="41"/>
  <c r="F275" i="41"/>
  <c r="G275" i="41"/>
  <c r="H275" i="41"/>
  <c r="I275" i="41"/>
  <c r="J275" i="41"/>
  <c r="K275" i="41"/>
  <c r="L275" i="41"/>
  <c r="M275" i="41"/>
  <c r="N275" i="41"/>
  <c r="O275" i="41"/>
  <c r="P275" i="41"/>
  <c r="Q275" i="41"/>
  <c r="R275" i="41"/>
  <c r="S275" i="41"/>
  <c r="T275" i="41"/>
  <c r="U275" i="41"/>
  <c r="V275" i="41"/>
  <c r="W275" i="41"/>
  <c r="X275" i="41"/>
  <c r="Y275" i="41"/>
  <c r="Z275" i="41"/>
  <c r="AA275" i="41"/>
  <c r="AB275" i="41"/>
  <c r="AC275" i="41"/>
  <c r="AD275" i="41"/>
  <c r="AE275" i="41"/>
  <c r="AF275" i="41"/>
  <c r="AG275" i="41"/>
  <c r="AH275" i="41"/>
  <c r="AI275" i="41"/>
  <c r="AJ275" i="41"/>
  <c r="AK275" i="41"/>
  <c r="AL275" i="41"/>
  <c r="AM275" i="41"/>
  <c r="AN275" i="41"/>
  <c r="AO275" i="41"/>
  <c r="AP275" i="41"/>
  <c r="AQ275" i="41"/>
  <c r="AR275" i="41"/>
  <c r="AS275" i="41"/>
  <c r="AT275" i="41"/>
  <c r="AU275" i="41"/>
  <c r="AV275" i="41"/>
  <c r="AW275" i="41"/>
  <c r="AX275" i="41"/>
  <c r="AY275" i="41"/>
  <c r="AZ275" i="41"/>
  <c r="BA275" i="41"/>
  <c r="BB275" i="41"/>
  <c r="BC275" i="41"/>
  <c r="BD275" i="41"/>
  <c r="F276" i="41"/>
  <c r="G276" i="41"/>
  <c r="H276" i="41"/>
  <c r="I276" i="41"/>
  <c r="J276" i="41"/>
  <c r="K276" i="41"/>
  <c r="L276" i="41"/>
  <c r="M276" i="41"/>
  <c r="N276" i="41"/>
  <c r="O276" i="41"/>
  <c r="P276" i="41"/>
  <c r="Q276" i="41"/>
  <c r="R276" i="41"/>
  <c r="S276" i="41"/>
  <c r="T276" i="41"/>
  <c r="U276" i="41"/>
  <c r="V276" i="41"/>
  <c r="W276" i="41"/>
  <c r="X276" i="41"/>
  <c r="Y276" i="41"/>
  <c r="Z276" i="41"/>
  <c r="AA276" i="41"/>
  <c r="AB276" i="41"/>
  <c r="AC276" i="41"/>
  <c r="AD276" i="41"/>
  <c r="AE276" i="41"/>
  <c r="AF276" i="41"/>
  <c r="AG276" i="41"/>
  <c r="AH276" i="41"/>
  <c r="AI276" i="41"/>
  <c r="AJ276" i="41"/>
  <c r="AK276" i="41"/>
  <c r="AL276" i="41"/>
  <c r="AM276" i="41"/>
  <c r="AN276" i="41"/>
  <c r="AO276" i="41"/>
  <c r="AP276" i="41"/>
  <c r="AQ276" i="41"/>
  <c r="AR276" i="41"/>
  <c r="AS276" i="41"/>
  <c r="AT276" i="41"/>
  <c r="AU276" i="41"/>
  <c r="AV276" i="41"/>
  <c r="AW276" i="41"/>
  <c r="AX276" i="41"/>
  <c r="AY276" i="41"/>
  <c r="AZ276" i="41"/>
  <c r="BA276" i="41"/>
  <c r="BB276" i="41"/>
  <c r="BC276" i="41"/>
  <c r="BD276" i="41"/>
  <c r="F277" i="41"/>
  <c r="G277" i="41"/>
  <c r="H277" i="41"/>
  <c r="I277" i="41"/>
  <c r="J277" i="41"/>
  <c r="K277" i="41"/>
  <c r="L277" i="41"/>
  <c r="M277" i="41"/>
  <c r="N277" i="41"/>
  <c r="O277" i="41"/>
  <c r="P277" i="41"/>
  <c r="Q277" i="41"/>
  <c r="R277" i="41"/>
  <c r="S277" i="41"/>
  <c r="T277" i="41"/>
  <c r="U277" i="41"/>
  <c r="V277" i="41"/>
  <c r="W277" i="41"/>
  <c r="X277" i="41"/>
  <c r="Y277" i="41"/>
  <c r="Z277" i="41"/>
  <c r="AA277" i="41"/>
  <c r="AB277" i="41"/>
  <c r="AC277" i="41"/>
  <c r="AD277" i="41"/>
  <c r="AE277" i="41"/>
  <c r="AF277" i="41"/>
  <c r="AG277" i="41"/>
  <c r="AH277" i="41"/>
  <c r="AI277" i="41"/>
  <c r="AJ277" i="41"/>
  <c r="AK277" i="41"/>
  <c r="AL277" i="41"/>
  <c r="AM277" i="41"/>
  <c r="AN277" i="41"/>
  <c r="AO277" i="41"/>
  <c r="AP277" i="41"/>
  <c r="AQ277" i="41"/>
  <c r="AR277" i="41"/>
  <c r="AS277" i="41"/>
  <c r="AT277" i="41"/>
  <c r="AU277" i="41"/>
  <c r="AV277" i="41"/>
  <c r="AW277" i="41"/>
  <c r="AX277" i="41"/>
  <c r="AY277" i="41"/>
  <c r="AZ277" i="41"/>
  <c r="BA277" i="41"/>
  <c r="BB277" i="41"/>
  <c r="BC277" i="41"/>
  <c r="BD277" i="41"/>
  <c r="F278" i="41"/>
  <c r="G278" i="41"/>
  <c r="H278" i="41"/>
  <c r="I278" i="41"/>
  <c r="J278" i="41"/>
  <c r="K278" i="41"/>
  <c r="L278" i="41"/>
  <c r="M278" i="41"/>
  <c r="N278" i="41"/>
  <c r="O278" i="41"/>
  <c r="P278" i="41"/>
  <c r="Q278" i="41"/>
  <c r="R278" i="41"/>
  <c r="S278" i="41"/>
  <c r="T278" i="41"/>
  <c r="U278" i="41"/>
  <c r="V278" i="41"/>
  <c r="W278" i="41"/>
  <c r="X278" i="41"/>
  <c r="Y278" i="41"/>
  <c r="Z278" i="41"/>
  <c r="AA278" i="41"/>
  <c r="AB278" i="41"/>
  <c r="AC278" i="41"/>
  <c r="AD278" i="41"/>
  <c r="AE278" i="41"/>
  <c r="AF278" i="41"/>
  <c r="AG278" i="41"/>
  <c r="AH278" i="41"/>
  <c r="AI278" i="41"/>
  <c r="AJ278" i="41"/>
  <c r="AK278" i="41"/>
  <c r="AL278" i="41"/>
  <c r="AM278" i="41"/>
  <c r="AN278" i="41"/>
  <c r="AO278" i="41"/>
  <c r="AP278" i="41"/>
  <c r="AQ278" i="41"/>
  <c r="AR278" i="41"/>
  <c r="AS278" i="41"/>
  <c r="AT278" i="41"/>
  <c r="AU278" i="41"/>
  <c r="AV278" i="41"/>
  <c r="AW278" i="41"/>
  <c r="AX278" i="41"/>
  <c r="AY278" i="41"/>
  <c r="AZ278" i="41"/>
  <c r="BA278" i="41"/>
  <c r="BB278" i="41"/>
  <c r="BC278" i="41"/>
  <c r="BD278" i="41"/>
  <c r="F279" i="41"/>
  <c r="G279" i="41"/>
  <c r="H279" i="41"/>
  <c r="I279" i="41"/>
  <c r="J279" i="41"/>
  <c r="K279" i="41"/>
  <c r="L279" i="41"/>
  <c r="M279" i="41"/>
  <c r="N279" i="41"/>
  <c r="O279" i="41"/>
  <c r="P279" i="41"/>
  <c r="Q279" i="41"/>
  <c r="R279" i="41"/>
  <c r="S279" i="41"/>
  <c r="T279" i="41"/>
  <c r="U279" i="41"/>
  <c r="V279" i="41"/>
  <c r="W279" i="41"/>
  <c r="X279" i="41"/>
  <c r="Y279" i="41"/>
  <c r="Z279" i="41"/>
  <c r="AA279" i="41"/>
  <c r="AB279" i="41"/>
  <c r="AC279" i="41"/>
  <c r="AD279" i="41"/>
  <c r="AE279" i="41"/>
  <c r="AF279" i="41"/>
  <c r="AG279" i="41"/>
  <c r="AH279" i="41"/>
  <c r="AI279" i="41"/>
  <c r="AJ279" i="41"/>
  <c r="AK279" i="41"/>
  <c r="AL279" i="41"/>
  <c r="AM279" i="41"/>
  <c r="AN279" i="41"/>
  <c r="AO279" i="41"/>
  <c r="AP279" i="41"/>
  <c r="AQ279" i="41"/>
  <c r="AR279" i="41"/>
  <c r="AS279" i="41"/>
  <c r="AT279" i="41"/>
  <c r="AU279" i="41"/>
  <c r="AV279" i="41"/>
  <c r="AW279" i="41"/>
  <c r="AX279" i="41"/>
  <c r="AY279" i="41"/>
  <c r="AZ279" i="41"/>
  <c r="BA279" i="41"/>
  <c r="BB279" i="41"/>
  <c r="BC279" i="41"/>
  <c r="BD279" i="41"/>
  <c r="F280" i="41"/>
  <c r="G280" i="41"/>
  <c r="H280" i="41"/>
  <c r="I280" i="41"/>
  <c r="J280" i="41"/>
  <c r="K280" i="41"/>
  <c r="L280" i="41"/>
  <c r="M280" i="41"/>
  <c r="N280" i="41"/>
  <c r="O280" i="41"/>
  <c r="P280" i="41"/>
  <c r="Q280" i="41"/>
  <c r="R280" i="41"/>
  <c r="S280" i="41"/>
  <c r="T280" i="41"/>
  <c r="U280" i="41"/>
  <c r="V280" i="41"/>
  <c r="W280" i="41"/>
  <c r="X280" i="41"/>
  <c r="Y280" i="41"/>
  <c r="Z280" i="41"/>
  <c r="AA280" i="41"/>
  <c r="AB280" i="41"/>
  <c r="AC280" i="41"/>
  <c r="AD280" i="41"/>
  <c r="AE280" i="41"/>
  <c r="AF280" i="41"/>
  <c r="AG280" i="41"/>
  <c r="AH280" i="41"/>
  <c r="AI280" i="41"/>
  <c r="AJ280" i="41"/>
  <c r="AK280" i="41"/>
  <c r="AL280" i="41"/>
  <c r="AM280" i="41"/>
  <c r="AN280" i="41"/>
  <c r="AO280" i="41"/>
  <c r="AP280" i="41"/>
  <c r="AQ280" i="41"/>
  <c r="AR280" i="41"/>
  <c r="AS280" i="41"/>
  <c r="AT280" i="41"/>
  <c r="AU280" i="41"/>
  <c r="AV280" i="41"/>
  <c r="AW280" i="41"/>
  <c r="AX280" i="41"/>
  <c r="AY280" i="41"/>
  <c r="AZ280" i="41"/>
  <c r="BA280" i="41"/>
  <c r="BB280" i="41"/>
  <c r="BC280" i="41"/>
  <c r="BD280" i="41"/>
  <c r="F281" i="41"/>
  <c r="G281" i="41"/>
  <c r="H281" i="41"/>
  <c r="I281" i="41"/>
  <c r="J281" i="41"/>
  <c r="K281" i="41"/>
  <c r="L281" i="41"/>
  <c r="M281" i="41"/>
  <c r="N281" i="41"/>
  <c r="O281" i="41"/>
  <c r="P281" i="41"/>
  <c r="Q281" i="41"/>
  <c r="R281" i="41"/>
  <c r="S281" i="41"/>
  <c r="T281" i="41"/>
  <c r="U281" i="41"/>
  <c r="V281" i="41"/>
  <c r="W281" i="41"/>
  <c r="X281" i="41"/>
  <c r="Y281" i="41"/>
  <c r="Z281" i="41"/>
  <c r="AA281" i="41"/>
  <c r="AB281" i="41"/>
  <c r="AC281" i="41"/>
  <c r="AD281" i="41"/>
  <c r="AE281" i="41"/>
  <c r="AF281" i="41"/>
  <c r="AG281" i="41"/>
  <c r="AH281" i="41"/>
  <c r="AI281" i="41"/>
  <c r="AJ281" i="41"/>
  <c r="AK281" i="41"/>
  <c r="AL281" i="41"/>
  <c r="AM281" i="41"/>
  <c r="AN281" i="41"/>
  <c r="AO281" i="41"/>
  <c r="AP281" i="41"/>
  <c r="AQ281" i="41"/>
  <c r="AR281" i="41"/>
  <c r="AS281" i="41"/>
  <c r="AT281" i="41"/>
  <c r="AU281" i="41"/>
  <c r="AV281" i="41"/>
  <c r="AW281" i="41"/>
  <c r="AX281" i="41"/>
  <c r="AY281" i="41"/>
  <c r="AZ281" i="41"/>
  <c r="BA281" i="41"/>
  <c r="BB281" i="41"/>
  <c r="BC281" i="41"/>
  <c r="BD281" i="41"/>
  <c r="F282" i="41"/>
  <c r="G282" i="41"/>
  <c r="H282" i="41"/>
  <c r="I282" i="41"/>
  <c r="J282" i="41"/>
  <c r="K282" i="41"/>
  <c r="L282" i="41"/>
  <c r="M282" i="41"/>
  <c r="N282" i="41"/>
  <c r="O282" i="41"/>
  <c r="P282" i="41"/>
  <c r="Q282" i="41"/>
  <c r="R282" i="41"/>
  <c r="S282" i="41"/>
  <c r="T282" i="41"/>
  <c r="U282" i="41"/>
  <c r="V282" i="41"/>
  <c r="W282" i="41"/>
  <c r="X282" i="41"/>
  <c r="Y282" i="41"/>
  <c r="Z282" i="41"/>
  <c r="AA282" i="41"/>
  <c r="AB282" i="41"/>
  <c r="AC282" i="41"/>
  <c r="AD282" i="41"/>
  <c r="AE282" i="41"/>
  <c r="AF282" i="41"/>
  <c r="AG282" i="41"/>
  <c r="AH282" i="41"/>
  <c r="AI282" i="41"/>
  <c r="AJ282" i="41"/>
  <c r="AK282" i="41"/>
  <c r="AL282" i="41"/>
  <c r="AM282" i="41"/>
  <c r="AN282" i="41"/>
  <c r="AO282" i="41"/>
  <c r="AP282" i="41"/>
  <c r="AQ282" i="41"/>
  <c r="AR282" i="41"/>
  <c r="AS282" i="41"/>
  <c r="AT282" i="41"/>
  <c r="AU282" i="41"/>
  <c r="AV282" i="41"/>
  <c r="AW282" i="41"/>
  <c r="AX282" i="41"/>
  <c r="AY282" i="41"/>
  <c r="AZ282" i="41"/>
  <c r="BA282" i="41"/>
  <c r="BB282" i="41"/>
  <c r="BC282" i="41"/>
  <c r="BD282" i="41"/>
  <c r="F283" i="41"/>
  <c r="G283" i="41"/>
  <c r="H283" i="41"/>
  <c r="I283" i="41"/>
  <c r="J283" i="41"/>
  <c r="K283" i="41"/>
  <c r="L283" i="41"/>
  <c r="M283" i="41"/>
  <c r="N283" i="41"/>
  <c r="O283" i="41"/>
  <c r="P283" i="41"/>
  <c r="Q283" i="41"/>
  <c r="R283" i="41"/>
  <c r="S283" i="41"/>
  <c r="T283" i="41"/>
  <c r="U283" i="41"/>
  <c r="V283" i="41"/>
  <c r="W283" i="41"/>
  <c r="X283" i="41"/>
  <c r="Y283" i="41"/>
  <c r="Z283" i="41"/>
  <c r="AA283" i="41"/>
  <c r="AB283" i="41"/>
  <c r="AC283" i="41"/>
  <c r="AD283" i="41"/>
  <c r="AE283" i="41"/>
  <c r="AF283" i="41"/>
  <c r="AG283" i="41"/>
  <c r="AH283" i="41"/>
  <c r="AI283" i="41"/>
  <c r="AJ283" i="41"/>
  <c r="AK283" i="41"/>
  <c r="AL283" i="41"/>
  <c r="AM283" i="41"/>
  <c r="AN283" i="41"/>
  <c r="AO283" i="41"/>
  <c r="AP283" i="41"/>
  <c r="AQ283" i="41"/>
  <c r="AR283" i="41"/>
  <c r="AS283" i="41"/>
  <c r="AT283" i="41"/>
  <c r="AU283" i="41"/>
  <c r="AV283" i="41"/>
  <c r="AW283" i="41"/>
  <c r="AX283" i="41"/>
  <c r="AY283" i="41"/>
  <c r="AZ283" i="41"/>
  <c r="BA283" i="41"/>
  <c r="BB283" i="41"/>
  <c r="BC283" i="41"/>
  <c r="BD283" i="41"/>
  <c r="F284" i="41"/>
  <c r="G284" i="41"/>
  <c r="H284" i="41"/>
  <c r="I284" i="41"/>
  <c r="J284" i="41"/>
  <c r="K284" i="41"/>
  <c r="L284" i="41"/>
  <c r="M284" i="41"/>
  <c r="N284" i="41"/>
  <c r="O284" i="41"/>
  <c r="P284" i="41"/>
  <c r="Q284" i="41"/>
  <c r="R284" i="41"/>
  <c r="S284" i="41"/>
  <c r="T284" i="41"/>
  <c r="U284" i="41"/>
  <c r="V284" i="41"/>
  <c r="W284" i="41"/>
  <c r="X284" i="41"/>
  <c r="Y284" i="41"/>
  <c r="Z284" i="41"/>
  <c r="AA284" i="41"/>
  <c r="AB284" i="41"/>
  <c r="AC284" i="41"/>
  <c r="AD284" i="41"/>
  <c r="AE284" i="41"/>
  <c r="AF284" i="41"/>
  <c r="AG284" i="41"/>
  <c r="AH284" i="41"/>
  <c r="AI284" i="41"/>
  <c r="AJ284" i="41"/>
  <c r="AK284" i="41"/>
  <c r="AL284" i="41"/>
  <c r="AM284" i="41"/>
  <c r="AN284" i="41"/>
  <c r="AO284" i="41"/>
  <c r="AP284" i="41"/>
  <c r="AQ284" i="41"/>
  <c r="AR284" i="41"/>
  <c r="AS284" i="41"/>
  <c r="AT284" i="41"/>
  <c r="AU284" i="41"/>
  <c r="AV284" i="41"/>
  <c r="AW284" i="41"/>
  <c r="AX284" i="41"/>
  <c r="AY284" i="41"/>
  <c r="AZ284" i="41"/>
  <c r="BA284" i="41"/>
  <c r="BB284" i="41"/>
  <c r="BC284" i="41"/>
  <c r="BD284" i="41"/>
  <c r="F285" i="41"/>
  <c r="G285" i="41"/>
  <c r="H285" i="41"/>
  <c r="I285" i="41"/>
  <c r="J285" i="41"/>
  <c r="K285" i="41"/>
  <c r="L285" i="41"/>
  <c r="M285" i="41"/>
  <c r="N285" i="41"/>
  <c r="O285" i="41"/>
  <c r="P285" i="41"/>
  <c r="Q285" i="41"/>
  <c r="R285" i="41"/>
  <c r="S285" i="41"/>
  <c r="T285" i="41"/>
  <c r="U285" i="41"/>
  <c r="V285" i="41"/>
  <c r="W285" i="41"/>
  <c r="X285" i="41"/>
  <c r="Y285" i="41"/>
  <c r="Z285" i="41"/>
  <c r="AA285" i="41"/>
  <c r="AB285" i="41"/>
  <c r="AC285" i="41"/>
  <c r="AD285" i="41"/>
  <c r="AE285" i="41"/>
  <c r="AF285" i="41"/>
  <c r="AG285" i="41"/>
  <c r="AH285" i="41"/>
  <c r="AI285" i="41"/>
  <c r="AJ285" i="41"/>
  <c r="AK285" i="41"/>
  <c r="AL285" i="41"/>
  <c r="AM285" i="41"/>
  <c r="AN285" i="41"/>
  <c r="AO285" i="41"/>
  <c r="AP285" i="41"/>
  <c r="AQ285" i="41"/>
  <c r="AR285" i="41"/>
  <c r="AS285" i="41"/>
  <c r="AT285" i="41"/>
  <c r="AU285" i="41"/>
  <c r="AV285" i="41"/>
  <c r="AW285" i="41"/>
  <c r="AX285" i="41"/>
  <c r="AY285" i="41"/>
  <c r="AZ285" i="41"/>
  <c r="BA285" i="41"/>
  <c r="BB285" i="41"/>
  <c r="BC285" i="41"/>
  <c r="BD285" i="41"/>
  <c r="F150" i="41"/>
  <c r="G150" i="41"/>
  <c r="H150" i="41"/>
  <c r="I150" i="41"/>
  <c r="J150" i="41"/>
  <c r="K150" i="41"/>
  <c r="L150" i="41"/>
  <c r="M150" i="41"/>
  <c r="N150" i="41"/>
  <c r="O150" i="41"/>
  <c r="P150" i="41"/>
  <c r="Q150" i="41"/>
  <c r="R150" i="41"/>
  <c r="S150" i="41"/>
  <c r="T150" i="41"/>
  <c r="U150" i="41"/>
  <c r="V150" i="41"/>
  <c r="W150" i="41"/>
  <c r="X150" i="41"/>
  <c r="Y150" i="41"/>
  <c r="Z150" i="41"/>
  <c r="AA150" i="41"/>
  <c r="AB150" i="41"/>
  <c r="AC150" i="41"/>
  <c r="AD150" i="41"/>
  <c r="AE150" i="41"/>
  <c r="AF150" i="41"/>
  <c r="AG150" i="41"/>
  <c r="AH150" i="41"/>
  <c r="AI150" i="41"/>
  <c r="AJ150" i="41"/>
  <c r="AK150" i="41"/>
  <c r="AL150" i="41"/>
  <c r="AM150" i="41"/>
  <c r="AN150" i="41"/>
  <c r="AO150" i="41"/>
  <c r="AP150" i="41"/>
  <c r="AQ150" i="41"/>
  <c r="AR150" i="41"/>
  <c r="AS150" i="41"/>
  <c r="AT150" i="41"/>
  <c r="AU150" i="41"/>
  <c r="AV150" i="41"/>
  <c r="AW150" i="41"/>
  <c r="AX150" i="41"/>
  <c r="AY150" i="41"/>
  <c r="AZ150" i="41"/>
  <c r="BA150" i="41"/>
  <c r="BB150" i="41"/>
  <c r="BC150" i="41"/>
  <c r="BD150" i="41"/>
  <c r="F151" i="41"/>
  <c r="G151" i="41"/>
  <c r="H151" i="41"/>
  <c r="I151" i="41"/>
  <c r="J151" i="41"/>
  <c r="K151" i="41"/>
  <c r="L151" i="41"/>
  <c r="M151" i="41"/>
  <c r="N151" i="41"/>
  <c r="O151" i="41"/>
  <c r="P151" i="41"/>
  <c r="Q151" i="41"/>
  <c r="R151" i="41"/>
  <c r="S151" i="41"/>
  <c r="T151" i="41"/>
  <c r="U151" i="41"/>
  <c r="V151" i="41"/>
  <c r="W151" i="41"/>
  <c r="X151" i="41"/>
  <c r="Y151" i="41"/>
  <c r="Z151" i="41"/>
  <c r="AA151" i="41"/>
  <c r="AB151" i="41"/>
  <c r="AC151" i="41"/>
  <c r="AD151" i="41"/>
  <c r="AE151" i="41"/>
  <c r="AF151" i="41"/>
  <c r="AG151" i="41"/>
  <c r="AH151" i="41"/>
  <c r="AI151" i="41"/>
  <c r="AJ151" i="41"/>
  <c r="AK151" i="41"/>
  <c r="AL151" i="41"/>
  <c r="AM151" i="41"/>
  <c r="AN151" i="41"/>
  <c r="AO151" i="41"/>
  <c r="AP151" i="41"/>
  <c r="AQ151" i="41"/>
  <c r="AR151" i="41"/>
  <c r="AS151" i="41"/>
  <c r="AT151" i="41"/>
  <c r="AU151" i="41"/>
  <c r="AV151" i="41"/>
  <c r="AW151" i="41"/>
  <c r="AX151" i="41"/>
  <c r="AY151" i="41"/>
  <c r="AZ151" i="41"/>
  <c r="BA151" i="41"/>
  <c r="BB151" i="41"/>
  <c r="BC151" i="41"/>
  <c r="BD151" i="41"/>
  <c r="F152" i="41"/>
  <c r="G152" i="41"/>
  <c r="H152" i="41"/>
  <c r="I152" i="41"/>
  <c r="J152" i="41"/>
  <c r="K152" i="41"/>
  <c r="L152" i="41"/>
  <c r="M152" i="41"/>
  <c r="N152" i="41"/>
  <c r="O152" i="41"/>
  <c r="P152" i="41"/>
  <c r="Q152" i="41"/>
  <c r="R152" i="41"/>
  <c r="S152" i="41"/>
  <c r="T152" i="41"/>
  <c r="U152" i="41"/>
  <c r="V152" i="41"/>
  <c r="W152" i="41"/>
  <c r="X152" i="41"/>
  <c r="Y152" i="41"/>
  <c r="Z152" i="41"/>
  <c r="AA152" i="41"/>
  <c r="AB152" i="41"/>
  <c r="AC152" i="41"/>
  <c r="AD152" i="41"/>
  <c r="AE152" i="41"/>
  <c r="AF152" i="41"/>
  <c r="AG152" i="41"/>
  <c r="AH152" i="41"/>
  <c r="AI152" i="41"/>
  <c r="AJ152" i="41"/>
  <c r="AK152" i="41"/>
  <c r="AL152" i="41"/>
  <c r="AM152" i="41"/>
  <c r="AN152" i="41"/>
  <c r="AO152" i="41"/>
  <c r="AP152" i="41"/>
  <c r="AQ152" i="41"/>
  <c r="AR152" i="41"/>
  <c r="AS152" i="41"/>
  <c r="AT152" i="41"/>
  <c r="AU152" i="41"/>
  <c r="AV152" i="41"/>
  <c r="AW152" i="41"/>
  <c r="AX152" i="41"/>
  <c r="AY152" i="41"/>
  <c r="AZ152" i="41"/>
  <c r="BA152" i="41"/>
  <c r="BB152" i="41"/>
  <c r="BC152" i="41"/>
  <c r="BD152" i="41"/>
  <c r="F153" i="41"/>
  <c r="G153" i="41"/>
  <c r="H153" i="41"/>
  <c r="I153" i="41"/>
  <c r="J153" i="41"/>
  <c r="K153" i="41"/>
  <c r="L153" i="41"/>
  <c r="M153" i="41"/>
  <c r="N153" i="41"/>
  <c r="O153" i="41"/>
  <c r="P153" i="41"/>
  <c r="Q153" i="41"/>
  <c r="R153" i="41"/>
  <c r="S153" i="41"/>
  <c r="T153" i="41"/>
  <c r="U153" i="41"/>
  <c r="V153" i="41"/>
  <c r="W153" i="41"/>
  <c r="X153" i="41"/>
  <c r="Y153" i="41"/>
  <c r="Z153" i="41"/>
  <c r="AA153" i="41"/>
  <c r="AB153" i="41"/>
  <c r="AC153" i="41"/>
  <c r="AD153" i="41"/>
  <c r="AE153" i="41"/>
  <c r="AF153" i="41"/>
  <c r="AG153" i="41"/>
  <c r="AH153" i="41"/>
  <c r="AI153" i="41"/>
  <c r="AJ153" i="41"/>
  <c r="AK153" i="41"/>
  <c r="AL153" i="41"/>
  <c r="AM153" i="41"/>
  <c r="AN153" i="41"/>
  <c r="AO153" i="41"/>
  <c r="AP153" i="41"/>
  <c r="AQ153" i="41"/>
  <c r="AR153" i="41"/>
  <c r="AS153" i="41"/>
  <c r="AT153" i="41"/>
  <c r="AU153" i="41"/>
  <c r="AV153" i="41"/>
  <c r="AW153" i="41"/>
  <c r="AX153" i="41"/>
  <c r="AY153" i="41"/>
  <c r="AZ153" i="41"/>
  <c r="BA153" i="41"/>
  <c r="BB153" i="41"/>
  <c r="BC153" i="41"/>
  <c r="BD153" i="41"/>
  <c r="F154" i="41"/>
  <c r="G154" i="41"/>
  <c r="H154" i="41"/>
  <c r="I154" i="41"/>
  <c r="J154" i="41"/>
  <c r="K154" i="41"/>
  <c r="L154" i="41"/>
  <c r="M154" i="41"/>
  <c r="N154" i="41"/>
  <c r="O154" i="41"/>
  <c r="P154" i="41"/>
  <c r="Q154" i="41"/>
  <c r="R154" i="41"/>
  <c r="S154" i="41"/>
  <c r="T154" i="41"/>
  <c r="U154" i="41"/>
  <c r="V154" i="41"/>
  <c r="W154" i="41"/>
  <c r="X154" i="41"/>
  <c r="Y154" i="41"/>
  <c r="Z154" i="41"/>
  <c r="AA154" i="41"/>
  <c r="AB154" i="41"/>
  <c r="AC154" i="41"/>
  <c r="AD154" i="41"/>
  <c r="AE154" i="41"/>
  <c r="AF154" i="41"/>
  <c r="AG154" i="41"/>
  <c r="AH154" i="41"/>
  <c r="AI154" i="41"/>
  <c r="AJ154" i="41"/>
  <c r="AK154" i="41"/>
  <c r="AL154" i="41"/>
  <c r="AM154" i="41"/>
  <c r="AN154" i="41"/>
  <c r="AO154" i="41"/>
  <c r="AP154" i="41"/>
  <c r="AQ154" i="41"/>
  <c r="AR154" i="41"/>
  <c r="AS154" i="41"/>
  <c r="AT154" i="41"/>
  <c r="AU154" i="41"/>
  <c r="AV154" i="41"/>
  <c r="AW154" i="41"/>
  <c r="AX154" i="41"/>
  <c r="AY154" i="41"/>
  <c r="AZ154" i="41"/>
  <c r="BA154" i="41"/>
  <c r="BB154" i="41"/>
  <c r="BC154" i="41"/>
  <c r="BD154" i="41"/>
  <c r="F155" i="41"/>
  <c r="G155" i="41"/>
  <c r="H155" i="41"/>
  <c r="I155" i="41"/>
  <c r="J155" i="41"/>
  <c r="K155" i="41"/>
  <c r="L155" i="41"/>
  <c r="M155" i="41"/>
  <c r="N155" i="41"/>
  <c r="O155" i="41"/>
  <c r="P155" i="41"/>
  <c r="Q155" i="41"/>
  <c r="R155" i="41"/>
  <c r="S155" i="41"/>
  <c r="T155" i="41"/>
  <c r="U155" i="41"/>
  <c r="V155" i="41"/>
  <c r="W155" i="41"/>
  <c r="X155" i="41"/>
  <c r="Y155" i="41"/>
  <c r="Z155" i="41"/>
  <c r="AA155" i="41"/>
  <c r="AB155" i="41"/>
  <c r="AC155" i="41"/>
  <c r="AD155" i="41"/>
  <c r="AE155" i="41"/>
  <c r="AF155" i="41"/>
  <c r="AG155" i="41"/>
  <c r="AH155" i="41"/>
  <c r="AI155" i="41"/>
  <c r="AJ155" i="41"/>
  <c r="AK155" i="41"/>
  <c r="AL155" i="41"/>
  <c r="AM155" i="41"/>
  <c r="AN155" i="41"/>
  <c r="AO155" i="41"/>
  <c r="AP155" i="41"/>
  <c r="AQ155" i="41"/>
  <c r="AR155" i="41"/>
  <c r="AS155" i="41"/>
  <c r="AT155" i="41"/>
  <c r="AU155" i="41"/>
  <c r="AV155" i="41"/>
  <c r="AW155" i="41"/>
  <c r="AX155" i="41"/>
  <c r="AY155" i="41"/>
  <c r="AZ155" i="41"/>
  <c r="BA155" i="41"/>
  <c r="BB155" i="41"/>
  <c r="BC155" i="41"/>
  <c r="BD155" i="41"/>
  <c r="F156" i="41"/>
  <c r="G156" i="41"/>
  <c r="H156" i="41"/>
  <c r="I156" i="41"/>
  <c r="J156" i="41"/>
  <c r="K156" i="41"/>
  <c r="L156" i="41"/>
  <c r="M156" i="41"/>
  <c r="N156" i="41"/>
  <c r="O156" i="41"/>
  <c r="P156" i="41"/>
  <c r="Q156" i="41"/>
  <c r="R156" i="41"/>
  <c r="S156" i="41"/>
  <c r="T156" i="41"/>
  <c r="U156" i="41"/>
  <c r="V156" i="41"/>
  <c r="W156" i="41"/>
  <c r="X156" i="41"/>
  <c r="Y156" i="41"/>
  <c r="Z156" i="41"/>
  <c r="AA156" i="41"/>
  <c r="AB156" i="41"/>
  <c r="AC156" i="41"/>
  <c r="AD156" i="41"/>
  <c r="AE156" i="41"/>
  <c r="AF156" i="41"/>
  <c r="AG156" i="41"/>
  <c r="AH156" i="41"/>
  <c r="AI156" i="41"/>
  <c r="AJ156" i="41"/>
  <c r="AK156" i="41"/>
  <c r="AL156" i="41"/>
  <c r="AM156" i="41"/>
  <c r="AN156" i="41"/>
  <c r="AO156" i="41"/>
  <c r="AP156" i="41"/>
  <c r="AQ156" i="41"/>
  <c r="AR156" i="41"/>
  <c r="AS156" i="41"/>
  <c r="AT156" i="41"/>
  <c r="AU156" i="41"/>
  <c r="AV156" i="41"/>
  <c r="AW156" i="41"/>
  <c r="AX156" i="41"/>
  <c r="AY156" i="41"/>
  <c r="AZ156" i="41"/>
  <c r="BA156" i="41"/>
  <c r="BB156" i="41"/>
  <c r="BC156" i="41"/>
  <c r="BD156" i="41"/>
  <c r="F157" i="41"/>
  <c r="G157" i="41"/>
  <c r="H157" i="41"/>
  <c r="I157" i="41"/>
  <c r="J157" i="41"/>
  <c r="K157" i="41"/>
  <c r="L157" i="41"/>
  <c r="M157" i="41"/>
  <c r="N157" i="41"/>
  <c r="O157" i="41"/>
  <c r="P157" i="41"/>
  <c r="Q157" i="41"/>
  <c r="R157" i="41"/>
  <c r="S157" i="41"/>
  <c r="T157" i="41"/>
  <c r="U157" i="41"/>
  <c r="V157" i="41"/>
  <c r="W157" i="41"/>
  <c r="X157" i="41"/>
  <c r="Y157" i="41"/>
  <c r="Z157" i="41"/>
  <c r="AA157" i="41"/>
  <c r="AB157" i="41"/>
  <c r="AC157" i="41"/>
  <c r="AD157" i="41"/>
  <c r="AE157" i="41"/>
  <c r="AF157" i="41"/>
  <c r="AG157" i="41"/>
  <c r="AH157" i="41"/>
  <c r="AI157" i="41"/>
  <c r="AJ157" i="41"/>
  <c r="AK157" i="41"/>
  <c r="AL157" i="41"/>
  <c r="AM157" i="41"/>
  <c r="AN157" i="41"/>
  <c r="AO157" i="41"/>
  <c r="AP157" i="41"/>
  <c r="AQ157" i="41"/>
  <c r="AR157" i="41"/>
  <c r="AS157" i="41"/>
  <c r="AT157" i="41"/>
  <c r="AU157" i="41"/>
  <c r="AV157" i="41"/>
  <c r="AW157" i="41"/>
  <c r="AX157" i="41"/>
  <c r="AY157" i="41"/>
  <c r="AZ157" i="41"/>
  <c r="BA157" i="41"/>
  <c r="BB157" i="41"/>
  <c r="BC157" i="41"/>
  <c r="BD157" i="41"/>
  <c r="F158" i="41"/>
  <c r="G158" i="41"/>
  <c r="H158" i="41"/>
  <c r="I158" i="41"/>
  <c r="J158" i="41"/>
  <c r="K158" i="41"/>
  <c r="L158" i="41"/>
  <c r="M158" i="41"/>
  <c r="N158" i="41"/>
  <c r="O158" i="41"/>
  <c r="P158" i="41"/>
  <c r="Q158" i="41"/>
  <c r="R158" i="41"/>
  <c r="S158" i="41"/>
  <c r="T158" i="41"/>
  <c r="U158" i="41"/>
  <c r="V158" i="41"/>
  <c r="W158" i="41"/>
  <c r="X158" i="41"/>
  <c r="Y158" i="41"/>
  <c r="Z158" i="41"/>
  <c r="AA158" i="41"/>
  <c r="AB158" i="41"/>
  <c r="AC158" i="41"/>
  <c r="AD158" i="41"/>
  <c r="AE158" i="41"/>
  <c r="AF158" i="41"/>
  <c r="AG158" i="41"/>
  <c r="AH158" i="41"/>
  <c r="AI158" i="41"/>
  <c r="AJ158" i="41"/>
  <c r="AK158" i="41"/>
  <c r="AL158" i="41"/>
  <c r="AM158" i="41"/>
  <c r="AN158" i="41"/>
  <c r="AO158" i="41"/>
  <c r="AP158" i="41"/>
  <c r="AQ158" i="41"/>
  <c r="AR158" i="41"/>
  <c r="AS158" i="41"/>
  <c r="AT158" i="41"/>
  <c r="AU158" i="41"/>
  <c r="AV158" i="41"/>
  <c r="AW158" i="41"/>
  <c r="AX158" i="41"/>
  <c r="AY158" i="41"/>
  <c r="AZ158" i="41"/>
  <c r="BA158" i="41"/>
  <c r="BB158" i="41"/>
  <c r="BC158" i="41"/>
  <c r="BD158" i="41"/>
  <c r="F159" i="41"/>
  <c r="G159" i="41"/>
  <c r="H159" i="41"/>
  <c r="I159" i="41"/>
  <c r="J159" i="41"/>
  <c r="K159" i="41"/>
  <c r="L159" i="41"/>
  <c r="M159" i="41"/>
  <c r="N159" i="41"/>
  <c r="O159" i="41"/>
  <c r="P159" i="41"/>
  <c r="Q159" i="41"/>
  <c r="R159" i="41"/>
  <c r="S159" i="41"/>
  <c r="T159" i="41"/>
  <c r="U159" i="41"/>
  <c r="V159" i="41"/>
  <c r="W159" i="41"/>
  <c r="X159" i="41"/>
  <c r="Y159" i="41"/>
  <c r="Z159" i="41"/>
  <c r="AA159" i="41"/>
  <c r="AB159" i="41"/>
  <c r="AC159" i="41"/>
  <c r="AD159" i="41"/>
  <c r="AE159" i="41"/>
  <c r="AF159" i="41"/>
  <c r="AG159" i="41"/>
  <c r="AH159" i="41"/>
  <c r="AI159" i="41"/>
  <c r="AJ159" i="41"/>
  <c r="AK159" i="41"/>
  <c r="AL159" i="41"/>
  <c r="AM159" i="41"/>
  <c r="AN159" i="41"/>
  <c r="AO159" i="41"/>
  <c r="AP159" i="41"/>
  <c r="AQ159" i="41"/>
  <c r="AR159" i="41"/>
  <c r="AS159" i="41"/>
  <c r="AT159" i="41"/>
  <c r="AU159" i="41"/>
  <c r="AV159" i="41"/>
  <c r="AW159" i="41"/>
  <c r="AX159" i="41"/>
  <c r="AY159" i="41"/>
  <c r="AZ159" i="41"/>
  <c r="BA159" i="41"/>
  <c r="BB159" i="41"/>
  <c r="BC159" i="41"/>
  <c r="BD159" i="41"/>
  <c r="F160" i="41"/>
  <c r="G160" i="41"/>
  <c r="H160" i="41"/>
  <c r="I160" i="41"/>
  <c r="J160" i="41"/>
  <c r="K160" i="41"/>
  <c r="L160" i="41"/>
  <c r="M160" i="41"/>
  <c r="N160" i="41"/>
  <c r="O160" i="41"/>
  <c r="P160" i="41"/>
  <c r="Q160" i="41"/>
  <c r="R160" i="41"/>
  <c r="S160" i="41"/>
  <c r="T160" i="41"/>
  <c r="U160" i="41"/>
  <c r="V160" i="41"/>
  <c r="W160" i="41"/>
  <c r="X160" i="41"/>
  <c r="Y160" i="41"/>
  <c r="Z160" i="41"/>
  <c r="AA160" i="41"/>
  <c r="AB160" i="41"/>
  <c r="AC160" i="41"/>
  <c r="AD160" i="41"/>
  <c r="AE160" i="41"/>
  <c r="AF160" i="41"/>
  <c r="AG160" i="41"/>
  <c r="AH160" i="41"/>
  <c r="AI160" i="41"/>
  <c r="AJ160" i="41"/>
  <c r="AK160" i="41"/>
  <c r="AL160" i="41"/>
  <c r="AM160" i="41"/>
  <c r="AN160" i="41"/>
  <c r="AO160" i="41"/>
  <c r="AP160" i="41"/>
  <c r="AQ160" i="41"/>
  <c r="AR160" i="41"/>
  <c r="AS160" i="41"/>
  <c r="AT160" i="41"/>
  <c r="AU160" i="41"/>
  <c r="AV160" i="41"/>
  <c r="AW160" i="41"/>
  <c r="AX160" i="41"/>
  <c r="AY160" i="41"/>
  <c r="AZ160" i="41"/>
  <c r="BA160" i="41"/>
  <c r="BB160" i="41"/>
  <c r="BC160" i="41"/>
  <c r="BD160" i="41"/>
  <c r="F161" i="41"/>
  <c r="G161" i="41"/>
  <c r="H161" i="41"/>
  <c r="I161" i="41"/>
  <c r="J161" i="41"/>
  <c r="K161" i="41"/>
  <c r="L161" i="41"/>
  <c r="M161" i="41"/>
  <c r="N161" i="41"/>
  <c r="O161" i="41"/>
  <c r="P161" i="41"/>
  <c r="Q161" i="41"/>
  <c r="R161" i="41"/>
  <c r="S161" i="41"/>
  <c r="T161" i="41"/>
  <c r="U161" i="41"/>
  <c r="V161" i="41"/>
  <c r="W161" i="41"/>
  <c r="X161" i="41"/>
  <c r="Y161" i="41"/>
  <c r="Z161" i="41"/>
  <c r="AA161" i="41"/>
  <c r="AB161" i="41"/>
  <c r="AC161" i="41"/>
  <c r="AD161" i="41"/>
  <c r="AE161" i="41"/>
  <c r="AF161" i="41"/>
  <c r="AG161" i="41"/>
  <c r="AH161" i="41"/>
  <c r="AI161" i="41"/>
  <c r="AJ161" i="41"/>
  <c r="AK161" i="41"/>
  <c r="AL161" i="41"/>
  <c r="AM161" i="41"/>
  <c r="AN161" i="41"/>
  <c r="AO161" i="41"/>
  <c r="AP161" i="41"/>
  <c r="AQ161" i="41"/>
  <c r="AR161" i="41"/>
  <c r="AS161" i="41"/>
  <c r="AT161" i="41"/>
  <c r="AU161" i="41"/>
  <c r="AV161" i="41"/>
  <c r="AW161" i="41"/>
  <c r="AX161" i="41"/>
  <c r="AY161" i="41"/>
  <c r="AZ161" i="41"/>
  <c r="BA161" i="41"/>
  <c r="BB161" i="41"/>
  <c r="BC161" i="41"/>
  <c r="BD161" i="41"/>
  <c r="F162" i="41"/>
  <c r="G162" i="41"/>
  <c r="H162" i="41"/>
  <c r="I162" i="41"/>
  <c r="J162" i="41"/>
  <c r="K162" i="41"/>
  <c r="L162" i="41"/>
  <c r="M162" i="41"/>
  <c r="N162" i="41"/>
  <c r="O162" i="41"/>
  <c r="P162" i="41"/>
  <c r="Q162" i="41"/>
  <c r="R162" i="41"/>
  <c r="S162" i="41"/>
  <c r="T162" i="41"/>
  <c r="U162" i="41"/>
  <c r="V162" i="41"/>
  <c r="W162" i="41"/>
  <c r="X162" i="41"/>
  <c r="Y162" i="41"/>
  <c r="Z162" i="41"/>
  <c r="AA162" i="41"/>
  <c r="AB162" i="41"/>
  <c r="AC162" i="41"/>
  <c r="AD162" i="41"/>
  <c r="AE162" i="41"/>
  <c r="AF162" i="41"/>
  <c r="AG162" i="41"/>
  <c r="AH162" i="41"/>
  <c r="AI162" i="41"/>
  <c r="AJ162" i="41"/>
  <c r="AK162" i="41"/>
  <c r="AL162" i="41"/>
  <c r="AM162" i="41"/>
  <c r="AN162" i="41"/>
  <c r="AO162" i="41"/>
  <c r="AP162" i="41"/>
  <c r="AQ162" i="41"/>
  <c r="AR162" i="41"/>
  <c r="AS162" i="41"/>
  <c r="AT162" i="41"/>
  <c r="AU162" i="41"/>
  <c r="AV162" i="41"/>
  <c r="AW162" i="41"/>
  <c r="AX162" i="41"/>
  <c r="AY162" i="41"/>
  <c r="AZ162" i="41"/>
  <c r="BA162" i="41"/>
  <c r="BB162" i="41"/>
  <c r="BC162" i="41"/>
  <c r="BD162" i="41"/>
  <c r="F163" i="41"/>
  <c r="G163" i="41"/>
  <c r="H163" i="41"/>
  <c r="I163" i="41"/>
  <c r="J163" i="41"/>
  <c r="K163" i="41"/>
  <c r="L163" i="41"/>
  <c r="M163" i="41"/>
  <c r="N163" i="41"/>
  <c r="O163" i="41"/>
  <c r="P163" i="41"/>
  <c r="Q163" i="41"/>
  <c r="R163" i="41"/>
  <c r="S163" i="41"/>
  <c r="T163" i="41"/>
  <c r="U163" i="41"/>
  <c r="V163" i="41"/>
  <c r="W163" i="41"/>
  <c r="X163" i="41"/>
  <c r="Y163" i="41"/>
  <c r="Z163" i="41"/>
  <c r="AA163" i="41"/>
  <c r="AB163" i="41"/>
  <c r="AC163" i="41"/>
  <c r="AD163" i="41"/>
  <c r="AE163" i="41"/>
  <c r="AF163" i="41"/>
  <c r="AG163" i="41"/>
  <c r="AH163" i="41"/>
  <c r="AI163" i="41"/>
  <c r="AJ163" i="41"/>
  <c r="AK163" i="41"/>
  <c r="AL163" i="41"/>
  <c r="AM163" i="41"/>
  <c r="AN163" i="41"/>
  <c r="AO163" i="41"/>
  <c r="AP163" i="41"/>
  <c r="AQ163" i="41"/>
  <c r="AR163" i="41"/>
  <c r="AS163" i="41"/>
  <c r="AT163" i="41"/>
  <c r="AU163" i="41"/>
  <c r="AV163" i="41"/>
  <c r="AW163" i="41"/>
  <c r="AX163" i="41"/>
  <c r="AY163" i="41"/>
  <c r="AZ163" i="41"/>
  <c r="BA163" i="41"/>
  <c r="BB163" i="41"/>
  <c r="BC163" i="41"/>
  <c r="BD163" i="41"/>
  <c r="F164" i="41"/>
  <c r="G164" i="41"/>
  <c r="H164" i="41"/>
  <c r="I164" i="41"/>
  <c r="J164" i="41"/>
  <c r="K164" i="41"/>
  <c r="L164" i="41"/>
  <c r="M164" i="41"/>
  <c r="N164" i="41"/>
  <c r="O164" i="41"/>
  <c r="P164" i="41"/>
  <c r="Q164" i="41"/>
  <c r="R164" i="41"/>
  <c r="S164" i="41"/>
  <c r="T164" i="41"/>
  <c r="U164" i="41"/>
  <c r="V164" i="41"/>
  <c r="W164" i="41"/>
  <c r="X164" i="41"/>
  <c r="Y164" i="41"/>
  <c r="Z164" i="41"/>
  <c r="AA164" i="41"/>
  <c r="AB164" i="41"/>
  <c r="AC164" i="41"/>
  <c r="AD164" i="41"/>
  <c r="AE164" i="41"/>
  <c r="AF164" i="41"/>
  <c r="AG164" i="41"/>
  <c r="AH164" i="41"/>
  <c r="AI164" i="41"/>
  <c r="AJ164" i="41"/>
  <c r="AK164" i="41"/>
  <c r="AL164" i="41"/>
  <c r="AM164" i="41"/>
  <c r="AN164" i="41"/>
  <c r="AO164" i="41"/>
  <c r="AP164" i="41"/>
  <c r="AQ164" i="41"/>
  <c r="AR164" i="41"/>
  <c r="AS164" i="41"/>
  <c r="AT164" i="41"/>
  <c r="AU164" i="41"/>
  <c r="AV164" i="41"/>
  <c r="AW164" i="41"/>
  <c r="AX164" i="41"/>
  <c r="AY164" i="41"/>
  <c r="AZ164" i="41"/>
  <c r="BA164" i="41"/>
  <c r="BB164" i="41"/>
  <c r="BC164" i="41"/>
  <c r="BD164" i="41"/>
  <c r="F165" i="41"/>
  <c r="G165" i="41"/>
  <c r="H165" i="41"/>
  <c r="I165" i="41"/>
  <c r="J165" i="41"/>
  <c r="K165" i="41"/>
  <c r="L165" i="41"/>
  <c r="M165" i="41"/>
  <c r="N165" i="41"/>
  <c r="O165" i="41"/>
  <c r="P165" i="41"/>
  <c r="Q165" i="41"/>
  <c r="R165" i="41"/>
  <c r="S165" i="41"/>
  <c r="T165" i="41"/>
  <c r="U165" i="41"/>
  <c r="V165" i="41"/>
  <c r="W165" i="41"/>
  <c r="X165" i="41"/>
  <c r="Y165" i="41"/>
  <c r="Z165" i="41"/>
  <c r="AA165" i="41"/>
  <c r="AB165" i="41"/>
  <c r="AC165" i="41"/>
  <c r="AD165" i="41"/>
  <c r="AE165" i="41"/>
  <c r="AF165" i="41"/>
  <c r="AG165" i="41"/>
  <c r="AH165" i="41"/>
  <c r="AI165" i="41"/>
  <c r="AJ165" i="41"/>
  <c r="AK165" i="41"/>
  <c r="AL165" i="41"/>
  <c r="AM165" i="41"/>
  <c r="AN165" i="41"/>
  <c r="AO165" i="41"/>
  <c r="AP165" i="41"/>
  <c r="AQ165" i="41"/>
  <c r="AR165" i="41"/>
  <c r="AS165" i="41"/>
  <c r="AT165" i="41"/>
  <c r="AU165" i="41"/>
  <c r="AV165" i="41"/>
  <c r="AW165" i="41"/>
  <c r="AX165" i="41"/>
  <c r="AY165" i="41"/>
  <c r="AZ165" i="41"/>
  <c r="BA165" i="41"/>
  <c r="BB165" i="41"/>
  <c r="BC165" i="41"/>
  <c r="BD165" i="41"/>
  <c r="F166" i="41"/>
  <c r="G166" i="41"/>
  <c r="H166" i="41"/>
  <c r="I166" i="41"/>
  <c r="J166" i="41"/>
  <c r="K166" i="41"/>
  <c r="L166" i="41"/>
  <c r="M166" i="41"/>
  <c r="N166" i="41"/>
  <c r="O166" i="41"/>
  <c r="P166" i="41"/>
  <c r="Q166" i="41"/>
  <c r="R166" i="41"/>
  <c r="S166" i="41"/>
  <c r="T166" i="41"/>
  <c r="U166" i="41"/>
  <c r="V166" i="41"/>
  <c r="W166" i="41"/>
  <c r="X166" i="41"/>
  <c r="Y166" i="41"/>
  <c r="Z166" i="41"/>
  <c r="AA166" i="41"/>
  <c r="AB166" i="41"/>
  <c r="AC166" i="41"/>
  <c r="AD166" i="41"/>
  <c r="AE166" i="41"/>
  <c r="AF166" i="41"/>
  <c r="AG166" i="41"/>
  <c r="AH166" i="41"/>
  <c r="AI166" i="41"/>
  <c r="AJ166" i="41"/>
  <c r="AK166" i="41"/>
  <c r="AL166" i="41"/>
  <c r="AM166" i="41"/>
  <c r="AN166" i="41"/>
  <c r="AO166" i="41"/>
  <c r="AP166" i="41"/>
  <c r="AQ166" i="41"/>
  <c r="AR166" i="41"/>
  <c r="AS166" i="41"/>
  <c r="AT166" i="41"/>
  <c r="AU166" i="41"/>
  <c r="AV166" i="41"/>
  <c r="AW166" i="41"/>
  <c r="AX166" i="41"/>
  <c r="AY166" i="41"/>
  <c r="AZ166" i="41"/>
  <c r="BA166" i="41"/>
  <c r="BB166" i="41"/>
  <c r="BC166" i="41"/>
  <c r="BD166" i="41"/>
  <c r="F167" i="41"/>
  <c r="G167" i="41"/>
  <c r="H167" i="41"/>
  <c r="I167" i="41"/>
  <c r="J167" i="41"/>
  <c r="K167" i="41"/>
  <c r="L167" i="41"/>
  <c r="M167" i="41"/>
  <c r="N167" i="41"/>
  <c r="O167" i="41"/>
  <c r="P167" i="41"/>
  <c r="Q167" i="41"/>
  <c r="R167" i="41"/>
  <c r="S167" i="41"/>
  <c r="T167" i="41"/>
  <c r="U167" i="41"/>
  <c r="V167" i="41"/>
  <c r="W167" i="41"/>
  <c r="X167" i="41"/>
  <c r="Y167" i="41"/>
  <c r="Z167" i="41"/>
  <c r="AA167" i="41"/>
  <c r="AB167" i="41"/>
  <c r="AC167" i="41"/>
  <c r="AD167" i="41"/>
  <c r="AE167" i="41"/>
  <c r="AF167" i="41"/>
  <c r="AG167" i="41"/>
  <c r="AH167" i="41"/>
  <c r="AI167" i="41"/>
  <c r="AJ167" i="41"/>
  <c r="AK167" i="41"/>
  <c r="AL167" i="41"/>
  <c r="AM167" i="41"/>
  <c r="AN167" i="41"/>
  <c r="AO167" i="41"/>
  <c r="AP167" i="41"/>
  <c r="AQ167" i="41"/>
  <c r="AR167" i="41"/>
  <c r="AS167" i="41"/>
  <c r="AT167" i="41"/>
  <c r="AU167" i="41"/>
  <c r="AV167" i="41"/>
  <c r="AW167" i="41"/>
  <c r="AX167" i="41"/>
  <c r="AY167" i="41"/>
  <c r="AZ167" i="41"/>
  <c r="BA167" i="41"/>
  <c r="BB167" i="41"/>
  <c r="BC167" i="41"/>
  <c r="BD167" i="41"/>
  <c r="F168" i="41"/>
  <c r="G168" i="41"/>
  <c r="H168" i="41"/>
  <c r="I168" i="41"/>
  <c r="J168" i="41"/>
  <c r="K168" i="41"/>
  <c r="L168" i="41"/>
  <c r="M168" i="41"/>
  <c r="N168" i="41"/>
  <c r="O168" i="41"/>
  <c r="P168" i="41"/>
  <c r="Q168" i="41"/>
  <c r="R168" i="41"/>
  <c r="S168" i="41"/>
  <c r="T168" i="41"/>
  <c r="U168" i="41"/>
  <c r="V168" i="41"/>
  <c r="W168" i="41"/>
  <c r="X168" i="41"/>
  <c r="Y168" i="41"/>
  <c r="Z168" i="41"/>
  <c r="AA168" i="41"/>
  <c r="AB168" i="41"/>
  <c r="AC168" i="41"/>
  <c r="AD168" i="41"/>
  <c r="AE168" i="41"/>
  <c r="AF168" i="41"/>
  <c r="AG168" i="41"/>
  <c r="AH168" i="41"/>
  <c r="AI168" i="41"/>
  <c r="AJ168" i="41"/>
  <c r="AK168" i="41"/>
  <c r="AL168" i="41"/>
  <c r="AM168" i="41"/>
  <c r="AN168" i="41"/>
  <c r="AO168" i="41"/>
  <c r="AP168" i="41"/>
  <c r="AQ168" i="41"/>
  <c r="AR168" i="41"/>
  <c r="AS168" i="41"/>
  <c r="AT168" i="41"/>
  <c r="AU168" i="41"/>
  <c r="AV168" i="41"/>
  <c r="AW168" i="41"/>
  <c r="AX168" i="41"/>
  <c r="AY168" i="41"/>
  <c r="AZ168" i="41"/>
  <c r="BA168" i="41"/>
  <c r="BB168" i="41"/>
  <c r="BC168" i="41"/>
  <c r="BD168" i="41"/>
  <c r="F169" i="41"/>
  <c r="G169" i="41"/>
  <c r="H169" i="41"/>
  <c r="I169" i="41"/>
  <c r="J169" i="41"/>
  <c r="K169" i="41"/>
  <c r="L169" i="41"/>
  <c r="M169" i="41"/>
  <c r="N169" i="41"/>
  <c r="O169" i="41"/>
  <c r="P169" i="41"/>
  <c r="Q169" i="41"/>
  <c r="R169" i="41"/>
  <c r="S169" i="41"/>
  <c r="T169" i="41"/>
  <c r="U169" i="41"/>
  <c r="V169" i="41"/>
  <c r="W169" i="41"/>
  <c r="X169" i="41"/>
  <c r="Y169" i="41"/>
  <c r="Z169" i="41"/>
  <c r="AA169" i="41"/>
  <c r="AB169" i="41"/>
  <c r="AC169" i="41"/>
  <c r="AD169" i="41"/>
  <c r="AE169" i="41"/>
  <c r="AF169" i="41"/>
  <c r="AG169" i="41"/>
  <c r="AH169" i="41"/>
  <c r="AI169" i="41"/>
  <c r="AJ169" i="41"/>
  <c r="AK169" i="41"/>
  <c r="AL169" i="41"/>
  <c r="AM169" i="41"/>
  <c r="AN169" i="41"/>
  <c r="AO169" i="41"/>
  <c r="AP169" i="41"/>
  <c r="AQ169" i="41"/>
  <c r="AR169" i="41"/>
  <c r="AS169" i="41"/>
  <c r="AT169" i="41"/>
  <c r="AU169" i="41"/>
  <c r="AV169" i="41"/>
  <c r="AW169" i="41"/>
  <c r="AX169" i="41"/>
  <c r="AY169" i="41"/>
  <c r="AZ169" i="41"/>
  <c r="BA169" i="41"/>
  <c r="BB169" i="41"/>
  <c r="BC169" i="41"/>
  <c r="BD169" i="41"/>
  <c r="F170" i="41"/>
  <c r="G170" i="41"/>
  <c r="H170" i="41"/>
  <c r="I170" i="41"/>
  <c r="J170" i="41"/>
  <c r="K170" i="41"/>
  <c r="L170" i="41"/>
  <c r="M170" i="41"/>
  <c r="N170" i="41"/>
  <c r="O170" i="41"/>
  <c r="P170" i="41"/>
  <c r="Q170" i="41"/>
  <c r="R170" i="41"/>
  <c r="S170" i="41"/>
  <c r="T170" i="41"/>
  <c r="U170" i="41"/>
  <c r="V170" i="41"/>
  <c r="W170" i="41"/>
  <c r="X170" i="41"/>
  <c r="Y170" i="41"/>
  <c r="Z170" i="41"/>
  <c r="AA170" i="41"/>
  <c r="AB170" i="41"/>
  <c r="AC170" i="41"/>
  <c r="AD170" i="41"/>
  <c r="AE170" i="41"/>
  <c r="AF170" i="41"/>
  <c r="AG170" i="41"/>
  <c r="AH170" i="41"/>
  <c r="AI170" i="41"/>
  <c r="AJ170" i="41"/>
  <c r="AK170" i="41"/>
  <c r="AL170" i="41"/>
  <c r="AM170" i="41"/>
  <c r="AN170" i="41"/>
  <c r="AO170" i="41"/>
  <c r="AP170" i="41"/>
  <c r="AQ170" i="41"/>
  <c r="AR170" i="41"/>
  <c r="AS170" i="41"/>
  <c r="AT170" i="41"/>
  <c r="AU170" i="41"/>
  <c r="AV170" i="41"/>
  <c r="AW170" i="41"/>
  <c r="AX170" i="41"/>
  <c r="AY170" i="41"/>
  <c r="AZ170" i="41"/>
  <c r="BA170" i="41"/>
  <c r="BB170" i="41"/>
  <c r="BC170" i="41"/>
  <c r="BD170" i="41"/>
  <c r="F171" i="41"/>
  <c r="G171" i="41"/>
  <c r="H171" i="41"/>
  <c r="I171" i="41"/>
  <c r="J171" i="41"/>
  <c r="K171" i="41"/>
  <c r="L171" i="41"/>
  <c r="M171" i="41"/>
  <c r="N171" i="41"/>
  <c r="O171" i="41"/>
  <c r="P171" i="41"/>
  <c r="Q171" i="41"/>
  <c r="R171" i="41"/>
  <c r="S171" i="41"/>
  <c r="T171" i="41"/>
  <c r="U171" i="41"/>
  <c r="V171" i="41"/>
  <c r="W171" i="41"/>
  <c r="X171" i="41"/>
  <c r="Y171" i="41"/>
  <c r="Z171" i="41"/>
  <c r="AA171" i="41"/>
  <c r="AB171" i="41"/>
  <c r="AC171" i="41"/>
  <c r="AD171" i="41"/>
  <c r="AE171" i="41"/>
  <c r="AF171" i="41"/>
  <c r="AG171" i="41"/>
  <c r="AH171" i="41"/>
  <c r="AI171" i="41"/>
  <c r="AJ171" i="41"/>
  <c r="AK171" i="41"/>
  <c r="AL171" i="41"/>
  <c r="AM171" i="41"/>
  <c r="AN171" i="41"/>
  <c r="AO171" i="41"/>
  <c r="AP171" i="41"/>
  <c r="AQ171" i="41"/>
  <c r="AR171" i="41"/>
  <c r="AS171" i="41"/>
  <c r="AT171" i="41"/>
  <c r="AU171" i="41"/>
  <c r="AV171" i="41"/>
  <c r="AW171" i="41"/>
  <c r="AX171" i="41"/>
  <c r="AY171" i="41"/>
  <c r="AZ171" i="41"/>
  <c r="BA171" i="41"/>
  <c r="BB171" i="41"/>
  <c r="BC171" i="41"/>
  <c r="BD171" i="41"/>
  <c r="F172" i="41"/>
  <c r="G172" i="41"/>
  <c r="H172" i="41"/>
  <c r="I172" i="41"/>
  <c r="J172" i="41"/>
  <c r="K172" i="41"/>
  <c r="L172" i="41"/>
  <c r="M172" i="41"/>
  <c r="N172" i="41"/>
  <c r="O172" i="41"/>
  <c r="P172" i="41"/>
  <c r="Q172" i="41"/>
  <c r="R172" i="41"/>
  <c r="S172" i="41"/>
  <c r="T172" i="41"/>
  <c r="U172" i="41"/>
  <c r="V172" i="41"/>
  <c r="W172" i="41"/>
  <c r="X172" i="41"/>
  <c r="Y172" i="41"/>
  <c r="Z172" i="41"/>
  <c r="AA172" i="41"/>
  <c r="AB172" i="41"/>
  <c r="AC172" i="41"/>
  <c r="AD172" i="41"/>
  <c r="AE172" i="41"/>
  <c r="AF172" i="41"/>
  <c r="AG172" i="41"/>
  <c r="AH172" i="41"/>
  <c r="AI172" i="41"/>
  <c r="AJ172" i="41"/>
  <c r="AK172" i="41"/>
  <c r="AL172" i="41"/>
  <c r="AM172" i="41"/>
  <c r="AN172" i="41"/>
  <c r="AO172" i="41"/>
  <c r="AP172" i="41"/>
  <c r="AQ172" i="41"/>
  <c r="AR172" i="41"/>
  <c r="AS172" i="41"/>
  <c r="AT172" i="41"/>
  <c r="AU172" i="41"/>
  <c r="AV172" i="41"/>
  <c r="AW172" i="41"/>
  <c r="AX172" i="41"/>
  <c r="AY172" i="41"/>
  <c r="AZ172" i="41"/>
  <c r="BA172" i="41"/>
  <c r="BB172" i="41"/>
  <c r="BC172" i="41"/>
  <c r="BD172" i="41"/>
  <c r="F173" i="41"/>
  <c r="G173" i="41"/>
  <c r="H173" i="41"/>
  <c r="I173" i="41"/>
  <c r="J173" i="41"/>
  <c r="K173" i="41"/>
  <c r="L173" i="41"/>
  <c r="M173" i="41"/>
  <c r="N173" i="41"/>
  <c r="O173" i="41"/>
  <c r="P173" i="41"/>
  <c r="Q173" i="41"/>
  <c r="R173" i="41"/>
  <c r="S173" i="41"/>
  <c r="T173" i="41"/>
  <c r="U173" i="41"/>
  <c r="V173" i="41"/>
  <c r="W173" i="41"/>
  <c r="X173" i="41"/>
  <c r="Y173" i="41"/>
  <c r="Z173" i="41"/>
  <c r="AA173" i="41"/>
  <c r="AB173" i="41"/>
  <c r="AC173" i="41"/>
  <c r="AD173" i="41"/>
  <c r="AE173" i="41"/>
  <c r="AF173" i="41"/>
  <c r="AG173" i="41"/>
  <c r="AH173" i="41"/>
  <c r="AI173" i="41"/>
  <c r="AJ173" i="41"/>
  <c r="AK173" i="41"/>
  <c r="AL173" i="41"/>
  <c r="AM173" i="41"/>
  <c r="AN173" i="41"/>
  <c r="AO173" i="41"/>
  <c r="AP173" i="41"/>
  <c r="AQ173" i="41"/>
  <c r="AR173" i="41"/>
  <c r="AS173" i="41"/>
  <c r="AT173" i="41"/>
  <c r="AU173" i="41"/>
  <c r="AV173" i="41"/>
  <c r="AW173" i="41"/>
  <c r="AX173" i="41"/>
  <c r="AY173" i="41"/>
  <c r="AZ173" i="41"/>
  <c r="BA173" i="41"/>
  <c r="BB173" i="41"/>
  <c r="BC173" i="41"/>
  <c r="BD173" i="41"/>
  <c r="F174" i="41"/>
  <c r="G174" i="41"/>
  <c r="H174" i="41"/>
  <c r="I174" i="41"/>
  <c r="J174" i="41"/>
  <c r="K174" i="41"/>
  <c r="L174" i="41"/>
  <c r="M174" i="41"/>
  <c r="N174" i="41"/>
  <c r="O174" i="41"/>
  <c r="P174" i="41"/>
  <c r="Q174" i="41"/>
  <c r="R174" i="41"/>
  <c r="S174" i="41"/>
  <c r="T174" i="41"/>
  <c r="U174" i="41"/>
  <c r="V174" i="41"/>
  <c r="W174" i="41"/>
  <c r="X174" i="41"/>
  <c r="Y174" i="41"/>
  <c r="Z174" i="41"/>
  <c r="AA174" i="41"/>
  <c r="AB174" i="41"/>
  <c r="AC174" i="41"/>
  <c r="AD174" i="41"/>
  <c r="AE174" i="41"/>
  <c r="AF174" i="41"/>
  <c r="AG174" i="41"/>
  <c r="AH174" i="41"/>
  <c r="AI174" i="41"/>
  <c r="AJ174" i="41"/>
  <c r="AK174" i="41"/>
  <c r="AL174" i="41"/>
  <c r="AM174" i="41"/>
  <c r="AN174" i="41"/>
  <c r="AO174" i="41"/>
  <c r="AP174" i="41"/>
  <c r="AQ174" i="41"/>
  <c r="AR174" i="41"/>
  <c r="AS174" i="41"/>
  <c r="AT174" i="41"/>
  <c r="AU174" i="41"/>
  <c r="AV174" i="41"/>
  <c r="AW174" i="41"/>
  <c r="AX174" i="41"/>
  <c r="AY174" i="41"/>
  <c r="AZ174" i="41"/>
  <c r="BA174" i="41"/>
  <c r="BB174" i="41"/>
  <c r="BC174" i="41"/>
  <c r="BD174" i="41"/>
  <c r="F175" i="41"/>
  <c r="G175" i="41"/>
  <c r="H175" i="41"/>
  <c r="I175" i="41"/>
  <c r="J175" i="41"/>
  <c r="K175" i="41"/>
  <c r="L175" i="41"/>
  <c r="M175" i="41"/>
  <c r="N175" i="41"/>
  <c r="O175" i="41"/>
  <c r="P175" i="41"/>
  <c r="Q175" i="41"/>
  <c r="R175" i="41"/>
  <c r="S175" i="41"/>
  <c r="T175" i="41"/>
  <c r="U175" i="41"/>
  <c r="V175" i="41"/>
  <c r="W175" i="41"/>
  <c r="X175" i="41"/>
  <c r="Y175" i="41"/>
  <c r="Z175" i="41"/>
  <c r="AA175" i="41"/>
  <c r="AB175" i="41"/>
  <c r="AC175" i="41"/>
  <c r="AD175" i="41"/>
  <c r="AE175" i="41"/>
  <c r="AF175" i="41"/>
  <c r="AG175" i="41"/>
  <c r="AH175" i="41"/>
  <c r="AI175" i="41"/>
  <c r="AJ175" i="41"/>
  <c r="AK175" i="41"/>
  <c r="AL175" i="41"/>
  <c r="AM175" i="41"/>
  <c r="AN175" i="41"/>
  <c r="AO175" i="41"/>
  <c r="AP175" i="41"/>
  <c r="AQ175" i="41"/>
  <c r="AR175" i="41"/>
  <c r="AS175" i="41"/>
  <c r="AT175" i="41"/>
  <c r="AU175" i="41"/>
  <c r="AV175" i="41"/>
  <c r="AW175" i="41"/>
  <c r="AX175" i="41"/>
  <c r="AY175" i="41"/>
  <c r="AZ175" i="41"/>
  <c r="BA175" i="41"/>
  <c r="BB175" i="41"/>
  <c r="BC175" i="41"/>
  <c r="BD175" i="41"/>
  <c r="F176" i="41"/>
  <c r="G176" i="41"/>
  <c r="H176" i="41"/>
  <c r="I176" i="41"/>
  <c r="J176" i="41"/>
  <c r="K176" i="41"/>
  <c r="L176" i="41"/>
  <c r="M176" i="41"/>
  <c r="N176" i="41"/>
  <c r="O176" i="41"/>
  <c r="P176" i="41"/>
  <c r="Q176" i="41"/>
  <c r="R176" i="41"/>
  <c r="S176" i="41"/>
  <c r="T176" i="41"/>
  <c r="U176" i="41"/>
  <c r="V176" i="41"/>
  <c r="W176" i="41"/>
  <c r="X176" i="41"/>
  <c r="Y176" i="41"/>
  <c r="Z176" i="41"/>
  <c r="AA176" i="41"/>
  <c r="AB176" i="41"/>
  <c r="AC176" i="41"/>
  <c r="AD176" i="41"/>
  <c r="AE176" i="41"/>
  <c r="AF176" i="41"/>
  <c r="AG176" i="41"/>
  <c r="AH176" i="41"/>
  <c r="AI176" i="41"/>
  <c r="AJ176" i="41"/>
  <c r="AK176" i="41"/>
  <c r="AL176" i="41"/>
  <c r="AM176" i="41"/>
  <c r="AN176" i="41"/>
  <c r="AO176" i="41"/>
  <c r="AP176" i="41"/>
  <c r="AQ176" i="41"/>
  <c r="AR176" i="41"/>
  <c r="AS176" i="41"/>
  <c r="AT176" i="41"/>
  <c r="AU176" i="41"/>
  <c r="AV176" i="41"/>
  <c r="AW176" i="41"/>
  <c r="AX176" i="41"/>
  <c r="AY176" i="41"/>
  <c r="AZ176" i="41"/>
  <c r="BA176" i="41"/>
  <c r="BB176" i="41"/>
  <c r="BC176" i="41"/>
  <c r="BD176" i="41"/>
  <c r="F177" i="41"/>
  <c r="G177" i="41"/>
  <c r="H177" i="41"/>
  <c r="I177" i="41"/>
  <c r="J177" i="41"/>
  <c r="K177" i="41"/>
  <c r="L177" i="41"/>
  <c r="M177" i="41"/>
  <c r="N177" i="41"/>
  <c r="O177" i="41"/>
  <c r="P177" i="41"/>
  <c r="Q177" i="41"/>
  <c r="R177" i="41"/>
  <c r="S177" i="41"/>
  <c r="T177" i="41"/>
  <c r="U177" i="41"/>
  <c r="V177" i="41"/>
  <c r="W177" i="41"/>
  <c r="X177" i="41"/>
  <c r="Y177" i="41"/>
  <c r="Z177" i="41"/>
  <c r="AA177" i="41"/>
  <c r="AB177" i="41"/>
  <c r="AC177" i="41"/>
  <c r="AD177" i="41"/>
  <c r="AE177" i="41"/>
  <c r="AF177" i="41"/>
  <c r="AG177" i="41"/>
  <c r="AH177" i="41"/>
  <c r="AI177" i="41"/>
  <c r="AJ177" i="41"/>
  <c r="AK177" i="41"/>
  <c r="AL177" i="41"/>
  <c r="AM177" i="41"/>
  <c r="AN177" i="41"/>
  <c r="AO177" i="41"/>
  <c r="AP177" i="41"/>
  <c r="AQ177" i="41"/>
  <c r="AR177" i="41"/>
  <c r="AS177" i="41"/>
  <c r="AT177" i="41"/>
  <c r="AU177" i="41"/>
  <c r="AV177" i="41"/>
  <c r="AW177" i="41"/>
  <c r="AX177" i="41"/>
  <c r="AY177" i="41"/>
  <c r="AZ177" i="41"/>
  <c r="BA177" i="41"/>
  <c r="BB177" i="41"/>
  <c r="BC177" i="41"/>
  <c r="BD177" i="41"/>
  <c r="F178" i="41"/>
  <c r="G178" i="41"/>
  <c r="H178" i="41"/>
  <c r="I178" i="41"/>
  <c r="J178" i="41"/>
  <c r="K178" i="41"/>
  <c r="L178" i="41"/>
  <c r="M178" i="41"/>
  <c r="N178" i="41"/>
  <c r="O178" i="41"/>
  <c r="P178" i="41"/>
  <c r="Q178" i="41"/>
  <c r="R178" i="41"/>
  <c r="S178" i="41"/>
  <c r="T178" i="41"/>
  <c r="U178" i="41"/>
  <c r="V178" i="41"/>
  <c r="W178" i="41"/>
  <c r="X178" i="41"/>
  <c r="Y178" i="41"/>
  <c r="Z178" i="41"/>
  <c r="AA178" i="41"/>
  <c r="AB178" i="41"/>
  <c r="AC178" i="41"/>
  <c r="AD178" i="41"/>
  <c r="AE178" i="41"/>
  <c r="AF178" i="41"/>
  <c r="AG178" i="41"/>
  <c r="AH178" i="41"/>
  <c r="AI178" i="41"/>
  <c r="AJ178" i="41"/>
  <c r="AK178" i="41"/>
  <c r="AL178" i="41"/>
  <c r="AM178" i="41"/>
  <c r="AN178" i="41"/>
  <c r="AO178" i="41"/>
  <c r="AP178" i="41"/>
  <c r="AQ178" i="41"/>
  <c r="AR178" i="41"/>
  <c r="AS178" i="41"/>
  <c r="AT178" i="41"/>
  <c r="AU178" i="41"/>
  <c r="AV178" i="41"/>
  <c r="AW178" i="41"/>
  <c r="AX178" i="41"/>
  <c r="AY178" i="41"/>
  <c r="AZ178" i="41"/>
  <c r="BA178" i="41"/>
  <c r="BB178" i="41"/>
  <c r="BC178" i="41"/>
  <c r="BD178" i="41"/>
  <c r="F179" i="41"/>
  <c r="G179" i="41"/>
  <c r="H179" i="41"/>
  <c r="I179" i="41"/>
  <c r="J179" i="41"/>
  <c r="K179" i="41"/>
  <c r="L179" i="41"/>
  <c r="M179" i="41"/>
  <c r="N179" i="41"/>
  <c r="O179" i="41"/>
  <c r="P179" i="41"/>
  <c r="Q179" i="41"/>
  <c r="R179" i="41"/>
  <c r="S179" i="41"/>
  <c r="T179" i="41"/>
  <c r="U179" i="41"/>
  <c r="V179" i="41"/>
  <c r="W179" i="41"/>
  <c r="X179" i="41"/>
  <c r="Y179" i="41"/>
  <c r="Z179" i="41"/>
  <c r="AA179" i="41"/>
  <c r="AB179" i="41"/>
  <c r="AC179" i="41"/>
  <c r="AD179" i="41"/>
  <c r="AE179" i="41"/>
  <c r="AF179" i="41"/>
  <c r="AG179" i="41"/>
  <c r="AH179" i="41"/>
  <c r="AI179" i="41"/>
  <c r="AJ179" i="41"/>
  <c r="AK179" i="41"/>
  <c r="AL179" i="41"/>
  <c r="AM179" i="41"/>
  <c r="AN179" i="41"/>
  <c r="AO179" i="41"/>
  <c r="AP179" i="41"/>
  <c r="AQ179" i="41"/>
  <c r="AR179" i="41"/>
  <c r="AS179" i="41"/>
  <c r="AT179" i="41"/>
  <c r="AU179" i="41"/>
  <c r="AV179" i="41"/>
  <c r="AW179" i="41"/>
  <c r="AX179" i="41"/>
  <c r="AY179" i="41"/>
  <c r="AZ179" i="41"/>
  <c r="BA179" i="41"/>
  <c r="BB179" i="41"/>
  <c r="BC179" i="41"/>
  <c r="BD179" i="41"/>
  <c r="F180" i="41"/>
  <c r="G180" i="41"/>
  <c r="H180" i="41"/>
  <c r="I180" i="41"/>
  <c r="J180" i="41"/>
  <c r="K180" i="41"/>
  <c r="L180" i="41"/>
  <c r="M180" i="41"/>
  <c r="N180" i="41"/>
  <c r="O180" i="41"/>
  <c r="P180" i="41"/>
  <c r="Q180" i="41"/>
  <c r="R180" i="41"/>
  <c r="S180" i="41"/>
  <c r="T180" i="41"/>
  <c r="U180" i="41"/>
  <c r="V180" i="41"/>
  <c r="W180" i="41"/>
  <c r="X180" i="41"/>
  <c r="Y180" i="41"/>
  <c r="Z180" i="41"/>
  <c r="AA180" i="41"/>
  <c r="AB180" i="41"/>
  <c r="AC180" i="41"/>
  <c r="AD180" i="41"/>
  <c r="AE180" i="41"/>
  <c r="AF180" i="41"/>
  <c r="AG180" i="41"/>
  <c r="AH180" i="41"/>
  <c r="AI180" i="41"/>
  <c r="AJ180" i="41"/>
  <c r="AK180" i="41"/>
  <c r="AL180" i="41"/>
  <c r="AM180" i="41"/>
  <c r="AN180" i="41"/>
  <c r="AO180" i="41"/>
  <c r="AP180" i="41"/>
  <c r="AQ180" i="41"/>
  <c r="AR180" i="41"/>
  <c r="AS180" i="41"/>
  <c r="AT180" i="41"/>
  <c r="AU180" i="41"/>
  <c r="AV180" i="41"/>
  <c r="AW180" i="41"/>
  <c r="AX180" i="41"/>
  <c r="AY180" i="41"/>
  <c r="AZ180" i="41"/>
  <c r="BA180" i="41"/>
  <c r="BB180" i="41"/>
  <c r="BC180" i="41"/>
  <c r="BD180" i="41"/>
  <c r="F181" i="41"/>
  <c r="G181" i="41"/>
  <c r="H181" i="41"/>
  <c r="I181" i="41"/>
  <c r="J181" i="41"/>
  <c r="K181" i="41"/>
  <c r="L181" i="41"/>
  <c r="M181" i="41"/>
  <c r="N181" i="41"/>
  <c r="O181" i="41"/>
  <c r="P181" i="41"/>
  <c r="Q181" i="41"/>
  <c r="R181" i="41"/>
  <c r="S181" i="41"/>
  <c r="T181" i="41"/>
  <c r="U181" i="41"/>
  <c r="V181" i="41"/>
  <c r="W181" i="41"/>
  <c r="X181" i="41"/>
  <c r="Y181" i="41"/>
  <c r="Z181" i="41"/>
  <c r="AA181" i="41"/>
  <c r="AB181" i="41"/>
  <c r="AC181" i="41"/>
  <c r="AD181" i="41"/>
  <c r="AE181" i="41"/>
  <c r="AF181" i="41"/>
  <c r="AG181" i="41"/>
  <c r="AH181" i="41"/>
  <c r="AI181" i="41"/>
  <c r="AJ181" i="41"/>
  <c r="AK181" i="41"/>
  <c r="AL181" i="41"/>
  <c r="AM181" i="41"/>
  <c r="AN181" i="41"/>
  <c r="AO181" i="41"/>
  <c r="AP181" i="41"/>
  <c r="AQ181" i="41"/>
  <c r="AR181" i="41"/>
  <c r="AS181" i="41"/>
  <c r="AT181" i="41"/>
  <c r="AU181" i="41"/>
  <c r="AV181" i="41"/>
  <c r="AW181" i="41"/>
  <c r="AX181" i="41"/>
  <c r="AY181" i="41"/>
  <c r="AZ181" i="41"/>
  <c r="BA181" i="41"/>
  <c r="BB181" i="41"/>
  <c r="BC181" i="41"/>
  <c r="BD181" i="41"/>
  <c r="F182" i="41"/>
  <c r="G182" i="41"/>
  <c r="H182" i="41"/>
  <c r="I182" i="41"/>
  <c r="J182" i="41"/>
  <c r="K182" i="41"/>
  <c r="L182" i="41"/>
  <c r="M182" i="41"/>
  <c r="N182" i="41"/>
  <c r="O182" i="41"/>
  <c r="P182" i="41"/>
  <c r="Q182" i="41"/>
  <c r="R182" i="41"/>
  <c r="S182" i="41"/>
  <c r="T182" i="41"/>
  <c r="U182" i="41"/>
  <c r="V182" i="41"/>
  <c r="W182" i="41"/>
  <c r="X182" i="41"/>
  <c r="Y182" i="41"/>
  <c r="Z182" i="41"/>
  <c r="AA182" i="41"/>
  <c r="AB182" i="41"/>
  <c r="AC182" i="41"/>
  <c r="AD182" i="41"/>
  <c r="AE182" i="41"/>
  <c r="AF182" i="41"/>
  <c r="AG182" i="41"/>
  <c r="AH182" i="41"/>
  <c r="AI182" i="41"/>
  <c r="AJ182" i="41"/>
  <c r="AK182" i="41"/>
  <c r="AL182" i="41"/>
  <c r="AM182" i="41"/>
  <c r="AN182" i="41"/>
  <c r="AO182" i="41"/>
  <c r="AP182" i="41"/>
  <c r="AQ182" i="41"/>
  <c r="AR182" i="41"/>
  <c r="AS182" i="41"/>
  <c r="AT182" i="41"/>
  <c r="AU182" i="41"/>
  <c r="AV182" i="41"/>
  <c r="AW182" i="41"/>
  <c r="AX182" i="41"/>
  <c r="AY182" i="41"/>
  <c r="AZ182" i="41"/>
  <c r="BA182" i="41"/>
  <c r="BB182" i="41"/>
  <c r="BC182" i="41"/>
  <c r="BD182" i="41"/>
  <c r="F183" i="41"/>
  <c r="G183" i="41"/>
  <c r="H183" i="41"/>
  <c r="I183" i="41"/>
  <c r="J183" i="41"/>
  <c r="K183" i="41"/>
  <c r="L183" i="41"/>
  <c r="M183" i="41"/>
  <c r="N183" i="41"/>
  <c r="O183" i="41"/>
  <c r="P183" i="41"/>
  <c r="Q183" i="41"/>
  <c r="R183" i="41"/>
  <c r="S183" i="41"/>
  <c r="T183" i="41"/>
  <c r="U183" i="41"/>
  <c r="V183" i="41"/>
  <c r="W183" i="41"/>
  <c r="X183" i="41"/>
  <c r="Y183" i="41"/>
  <c r="Z183" i="41"/>
  <c r="AA183" i="41"/>
  <c r="AB183" i="41"/>
  <c r="AC183" i="41"/>
  <c r="AD183" i="41"/>
  <c r="AE183" i="41"/>
  <c r="AF183" i="41"/>
  <c r="AG183" i="41"/>
  <c r="AH183" i="41"/>
  <c r="AI183" i="41"/>
  <c r="AJ183" i="41"/>
  <c r="AK183" i="41"/>
  <c r="AL183" i="41"/>
  <c r="AM183" i="41"/>
  <c r="AN183" i="41"/>
  <c r="AO183" i="41"/>
  <c r="AP183" i="41"/>
  <c r="AQ183" i="41"/>
  <c r="AR183" i="41"/>
  <c r="AS183" i="41"/>
  <c r="AT183" i="41"/>
  <c r="AU183" i="41"/>
  <c r="AV183" i="41"/>
  <c r="AW183" i="41"/>
  <c r="AX183" i="41"/>
  <c r="AY183" i="41"/>
  <c r="AZ183" i="41"/>
  <c r="BA183" i="41"/>
  <c r="BB183" i="41"/>
  <c r="BC183" i="41"/>
  <c r="BD183" i="41"/>
  <c r="F184" i="41"/>
  <c r="G184" i="41"/>
  <c r="H184" i="41"/>
  <c r="I184" i="41"/>
  <c r="J184" i="41"/>
  <c r="K184" i="41"/>
  <c r="L184" i="41"/>
  <c r="M184" i="41"/>
  <c r="N184" i="41"/>
  <c r="O184" i="41"/>
  <c r="P184" i="41"/>
  <c r="Q184" i="41"/>
  <c r="R184" i="41"/>
  <c r="S184" i="41"/>
  <c r="T184" i="41"/>
  <c r="U184" i="41"/>
  <c r="V184" i="41"/>
  <c r="W184" i="41"/>
  <c r="X184" i="41"/>
  <c r="Y184" i="41"/>
  <c r="Z184" i="41"/>
  <c r="AA184" i="41"/>
  <c r="AB184" i="41"/>
  <c r="AC184" i="41"/>
  <c r="AD184" i="41"/>
  <c r="AE184" i="41"/>
  <c r="AF184" i="41"/>
  <c r="AG184" i="41"/>
  <c r="AH184" i="41"/>
  <c r="AI184" i="41"/>
  <c r="AJ184" i="41"/>
  <c r="AK184" i="41"/>
  <c r="AL184" i="41"/>
  <c r="AM184" i="41"/>
  <c r="AN184" i="41"/>
  <c r="AO184" i="41"/>
  <c r="AP184" i="41"/>
  <c r="AQ184" i="41"/>
  <c r="AR184" i="41"/>
  <c r="AS184" i="41"/>
  <c r="AT184" i="41"/>
  <c r="AU184" i="41"/>
  <c r="AV184" i="41"/>
  <c r="AW184" i="41"/>
  <c r="AX184" i="41"/>
  <c r="AY184" i="41"/>
  <c r="AZ184" i="41"/>
  <c r="BA184" i="41"/>
  <c r="BB184" i="41"/>
  <c r="BC184" i="41"/>
  <c r="BD184" i="41"/>
  <c r="F185" i="41"/>
  <c r="G185" i="41"/>
  <c r="H185" i="41"/>
  <c r="I185" i="41"/>
  <c r="J185" i="41"/>
  <c r="K185" i="41"/>
  <c r="L185" i="41"/>
  <c r="M185" i="41"/>
  <c r="N185" i="41"/>
  <c r="O185" i="41"/>
  <c r="P185" i="41"/>
  <c r="Q185" i="41"/>
  <c r="R185" i="41"/>
  <c r="S185" i="41"/>
  <c r="T185" i="41"/>
  <c r="U185" i="41"/>
  <c r="V185" i="41"/>
  <c r="W185" i="41"/>
  <c r="X185" i="41"/>
  <c r="Y185" i="41"/>
  <c r="Z185" i="41"/>
  <c r="AA185" i="41"/>
  <c r="AB185" i="41"/>
  <c r="AC185" i="41"/>
  <c r="AD185" i="41"/>
  <c r="AE185" i="41"/>
  <c r="AF185" i="41"/>
  <c r="AG185" i="41"/>
  <c r="AH185" i="41"/>
  <c r="AI185" i="41"/>
  <c r="AJ185" i="41"/>
  <c r="AK185" i="41"/>
  <c r="AL185" i="41"/>
  <c r="AM185" i="41"/>
  <c r="AN185" i="41"/>
  <c r="AO185" i="41"/>
  <c r="AP185" i="41"/>
  <c r="AQ185" i="41"/>
  <c r="AR185" i="41"/>
  <c r="AS185" i="41"/>
  <c r="AT185" i="41"/>
  <c r="AU185" i="41"/>
  <c r="AV185" i="41"/>
  <c r="AW185" i="41"/>
  <c r="AX185" i="41"/>
  <c r="AY185" i="41"/>
  <c r="AZ185" i="41"/>
  <c r="BA185" i="41"/>
  <c r="BB185" i="41"/>
  <c r="BC185" i="41"/>
  <c r="BD185" i="41"/>
  <c r="F186" i="41"/>
  <c r="G186" i="41"/>
  <c r="H186" i="41"/>
  <c r="I186" i="41"/>
  <c r="J186" i="41"/>
  <c r="K186" i="41"/>
  <c r="L186" i="41"/>
  <c r="M186" i="41"/>
  <c r="N186" i="41"/>
  <c r="O186" i="41"/>
  <c r="P186" i="41"/>
  <c r="Q186" i="41"/>
  <c r="R186" i="41"/>
  <c r="S186" i="41"/>
  <c r="T186" i="41"/>
  <c r="U186" i="41"/>
  <c r="V186" i="41"/>
  <c r="W186" i="41"/>
  <c r="X186" i="41"/>
  <c r="Y186" i="41"/>
  <c r="Z186" i="41"/>
  <c r="AA186" i="41"/>
  <c r="AB186" i="41"/>
  <c r="AC186" i="41"/>
  <c r="AD186" i="41"/>
  <c r="AE186" i="41"/>
  <c r="AF186" i="41"/>
  <c r="AG186" i="41"/>
  <c r="AH186" i="41"/>
  <c r="AI186" i="41"/>
  <c r="AJ186" i="41"/>
  <c r="AK186" i="41"/>
  <c r="AL186" i="41"/>
  <c r="AM186" i="41"/>
  <c r="AN186" i="41"/>
  <c r="AO186" i="41"/>
  <c r="AP186" i="41"/>
  <c r="AQ186" i="41"/>
  <c r="AR186" i="41"/>
  <c r="AS186" i="41"/>
  <c r="AT186" i="41"/>
  <c r="AU186" i="41"/>
  <c r="AV186" i="41"/>
  <c r="AW186" i="41"/>
  <c r="AX186" i="41"/>
  <c r="AY186" i="41"/>
  <c r="AZ186" i="41"/>
  <c r="BA186" i="41"/>
  <c r="BB186" i="41"/>
  <c r="BC186" i="41"/>
  <c r="BD186" i="41"/>
  <c r="F187" i="41"/>
  <c r="G187" i="41"/>
  <c r="H187" i="41"/>
  <c r="I187" i="41"/>
  <c r="J187" i="41"/>
  <c r="K187" i="41"/>
  <c r="L187" i="41"/>
  <c r="M187" i="41"/>
  <c r="N187" i="41"/>
  <c r="O187" i="41"/>
  <c r="P187" i="41"/>
  <c r="Q187" i="41"/>
  <c r="R187" i="41"/>
  <c r="S187" i="41"/>
  <c r="T187" i="41"/>
  <c r="U187" i="41"/>
  <c r="V187" i="41"/>
  <c r="W187" i="41"/>
  <c r="X187" i="41"/>
  <c r="Y187" i="41"/>
  <c r="Z187" i="41"/>
  <c r="AA187" i="41"/>
  <c r="AB187" i="41"/>
  <c r="AC187" i="41"/>
  <c r="AD187" i="41"/>
  <c r="AE187" i="41"/>
  <c r="AF187" i="41"/>
  <c r="AG187" i="41"/>
  <c r="AH187" i="41"/>
  <c r="AI187" i="41"/>
  <c r="AJ187" i="41"/>
  <c r="AK187" i="41"/>
  <c r="AL187" i="41"/>
  <c r="AM187" i="41"/>
  <c r="AN187" i="41"/>
  <c r="AO187" i="41"/>
  <c r="AP187" i="41"/>
  <c r="AQ187" i="41"/>
  <c r="AR187" i="41"/>
  <c r="AS187" i="41"/>
  <c r="AT187" i="41"/>
  <c r="AU187" i="41"/>
  <c r="AV187" i="41"/>
  <c r="AW187" i="41"/>
  <c r="AX187" i="41"/>
  <c r="AY187" i="41"/>
  <c r="AZ187" i="41"/>
  <c r="BA187" i="41"/>
  <c r="BB187" i="41"/>
  <c r="BC187" i="41"/>
  <c r="BD187" i="41"/>
  <c r="F188" i="41"/>
  <c r="G188" i="41"/>
  <c r="H188" i="41"/>
  <c r="I188" i="41"/>
  <c r="J188" i="41"/>
  <c r="K188" i="41"/>
  <c r="L188" i="41"/>
  <c r="M188" i="41"/>
  <c r="N188" i="41"/>
  <c r="O188" i="41"/>
  <c r="P188" i="41"/>
  <c r="Q188" i="41"/>
  <c r="R188" i="41"/>
  <c r="S188" i="41"/>
  <c r="T188" i="41"/>
  <c r="U188" i="41"/>
  <c r="V188" i="41"/>
  <c r="W188" i="41"/>
  <c r="X188" i="41"/>
  <c r="Y188" i="41"/>
  <c r="Z188" i="41"/>
  <c r="AA188" i="41"/>
  <c r="AB188" i="41"/>
  <c r="AC188" i="41"/>
  <c r="AD188" i="41"/>
  <c r="AE188" i="41"/>
  <c r="AF188" i="41"/>
  <c r="AG188" i="41"/>
  <c r="AH188" i="41"/>
  <c r="AI188" i="41"/>
  <c r="AJ188" i="41"/>
  <c r="AK188" i="41"/>
  <c r="AL188" i="41"/>
  <c r="AM188" i="41"/>
  <c r="AN188" i="41"/>
  <c r="AO188" i="41"/>
  <c r="AP188" i="41"/>
  <c r="AQ188" i="41"/>
  <c r="AR188" i="41"/>
  <c r="AS188" i="41"/>
  <c r="AT188" i="41"/>
  <c r="AU188" i="41"/>
  <c r="AV188" i="41"/>
  <c r="AW188" i="41"/>
  <c r="AX188" i="41"/>
  <c r="AY188" i="41"/>
  <c r="AZ188" i="41"/>
  <c r="BA188" i="41"/>
  <c r="BB188" i="41"/>
  <c r="BC188" i="41"/>
  <c r="BD188" i="41"/>
  <c r="F189" i="41"/>
  <c r="G189" i="41"/>
  <c r="H189" i="41"/>
  <c r="I189" i="41"/>
  <c r="J189" i="41"/>
  <c r="K189" i="41"/>
  <c r="L189" i="41"/>
  <c r="M189" i="41"/>
  <c r="N189" i="41"/>
  <c r="O189" i="41"/>
  <c r="P189" i="41"/>
  <c r="Q189" i="41"/>
  <c r="R189" i="41"/>
  <c r="S189" i="41"/>
  <c r="T189" i="41"/>
  <c r="U189" i="41"/>
  <c r="V189" i="41"/>
  <c r="W189" i="41"/>
  <c r="X189" i="41"/>
  <c r="Y189" i="41"/>
  <c r="Z189" i="41"/>
  <c r="AA189" i="41"/>
  <c r="AB189" i="41"/>
  <c r="AC189" i="41"/>
  <c r="AD189" i="41"/>
  <c r="AE189" i="41"/>
  <c r="AF189" i="41"/>
  <c r="AG189" i="41"/>
  <c r="AH189" i="41"/>
  <c r="AI189" i="41"/>
  <c r="AJ189" i="41"/>
  <c r="AK189" i="41"/>
  <c r="AL189" i="41"/>
  <c r="AM189" i="41"/>
  <c r="AN189" i="41"/>
  <c r="AO189" i="41"/>
  <c r="AP189" i="41"/>
  <c r="AQ189" i="41"/>
  <c r="AR189" i="41"/>
  <c r="AS189" i="41"/>
  <c r="AT189" i="41"/>
  <c r="AU189" i="41"/>
  <c r="AV189" i="41"/>
  <c r="AW189" i="41"/>
  <c r="AX189" i="41"/>
  <c r="AY189" i="41"/>
  <c r="AZ189" i="41"/>
  <c r="BA189" i="41"/>
  <c r="BB189" i="41"/>
  <c r="BC189" i="41"/>
  <c r="BD189" i="41"/>
  <c r="F190" i="41"/>
  <c r="G190" i="41"/>
  <c r="H190" i="41"/>
  <c r="I190" i="41"/>
  <c r="J190" i="41"/>
  <c r="K190" i="41"/>
  <c r="L190" i="41"/>
  <c r="M190" i="41"/>
  <c r="N190" i="41"/>
  <c r="O190" i="41"/>
  <c r="P190" i="41"/>
  <c r="Q190" i="41"/>
  <c r="R190" i="41"/>
  <c r="S190" i="41"/>
  <c r="T190" i="41"/>
  <c r="U190" i="41"/>
  <c r="V190" i="41"/>
  <c r="W190" i="41"/>
  <c r="X190" i="41"/>
  <c r="Y190" i="41"/>
  <c r="Z190" i="41"/>
  <c r="AA190" i="41"/>
  <c r="AB190" i="41"/>
  <c r="AC190" i="41"/>
  <c r="AD190" i="41"/>
  <c r="AE190" i="41"/>
  <c r="AF190" i="41"/>
  <c r="AG190" i="41"/>
  <c r="AH190" i="41"/>
  <c r="AI190" i="41"/>
  <c r="AJ190" i="41"/>
  <c r="AK190" i="41"/>
  <c r="AL190" i="41"/>
  <c r="AM190" i="41"/>
  <c r="AN190" i="41"/>
  <c r="AO190" i="41"/>
  <c r="AP190" i="41"/>
  <c r="AQ190" i="41"/>
  <c r="AR190" i="41"/>
  <c r="AS190" i="41"/>
  <c r="AT190" i="41"/>
  <c r="AU190" i="41"/>
  <c r="AV190" i="41"/>
  <c r="AW190" i="41"/>
  <c r="AX190" i="41"/>
  <c r="AY190" i="41"/>
  <c r="AZ190" i="41"/>
  <c r="BA190" i="41"/>
  <c r="BB190" i="41"/>
  <c r="BC190" i="41"/>
  <c r="BD190" i="41"/>
  <c r="F191" i="41"/>
  <c r="G191" i="41"/>
  <c r="H191" i="41"/>
  <c r="I191" i="41"/>
  <c r="J191" i="41"/>
  <c r="K191" i="41"/>
  <c r="L191" i="41"/>
  <c r="M191" i="41"/>
  <c r="N191" i="41"/>
  <c r="O191" i="41"/>
  <c r="P191" i="41"/>
  <c r="Q191" i="41"/>
  <c r="R191" i="41"/>
  <c r="S191" i="41"/>
  <c r="T191" i="41"/>
  <c r="U191" i="41"/>
  <c r="V191" i="41"/>
  <c r="W191" i="41"/>
  <c r="X191" i="41"/>
  <c r="Y191" i="41"/>
  <c r="Z191" i="41"/>
  <c r="AA191" i="41"/>
  <c r="AB191" i="41"/>
  <c r="AC191" i="41"/>
  <c r="AD191" i="41"/>
  <c r="AE191" i="41"/>
  <c r="AF191" i="41"/>
  <c r="AG191" i="41"/>
  <c r="AH191" i="41"/>
  <c r="AI191" i="41"/>
  <c r="AJ191" i="41"/>
  <c r="AK191" i="41"/>
  <c r="AL191" i="41"/>
  <c r="AM191" i="41"/>
  <c r="AN191" i="41"/>
  <c r="AO191" i="41"/>
  <c r="AP191" i="41"/>
  <c r="AQ191" i="41"/>
  <c r="AR191" i="41"/>
  <c r="AS191" i="41"/>
  <c r="AT191" i="41"/>
  <c r="AU191" i="41"/>
  <c r="AV191" i="41"/>
  <c r="AW191" i="41"/>
  <c r="AX191" i="41"/>
  <c r="AY191" i="41"/>
  <c r="AZ191" i="41"/>
  <c r="BA191" i="41"/>
  <c r="BB191" i="41"/>
  <c r="BC191" i="41"/>
  <c r="BD191" i="41"/>
  <c r="F192" i="41"/>
  <c r="G192" i="41"/>
  <c r="H192" i="41"/>
  <c r="I192" i="41"/>
  <c r="J192" i="41"/>
  <c r="K192" i="41"/>
  <c r="L192" i="41"/>
  <c r="M192" i="41"/>
  <c r="N192" i="41"/>
  <c r="O192" i="41"/>
  <c r="P192" i="41"/>
  <c r="Q192" i="41"/>
  <c r="R192" i="41"/>
  <c r="S192" i="41"/>
  <c r="T192" i="41"/>
  <c r="U192" i="41"/>
  <c r="V192" i="41"/>
  <c r="W192" i="41"/>
  <c r="X192" i="41"/>
  <c r="Y192" i="41"/>
  <c r="Z192" i="41"/>
  <c r="AA192" i="41"/>
  <c r="AB192" i="41"/>
  <c r="AC192" i="41"/>
  <c r="AD192" i="41"/>
  <c r="AE192" i="41"/>
  <c r="AF192" i="41"/>
  <c r="AG192" i="41"/>
  <c r="AH192" i="41"/>
  <c r="AI192" i="41"/>
  <c r="AJ192" i="41"/>
  <c r="AK192" i="41"/>
  <c r="AL192" i="41"/>
  <c r="AM192" i="41"/>
  <c r="AN192" i="41"/>
  <c r="AO192" i="41"/>
  <c r="AP192" i="41"/>
  <c r="AQ192" i="41"/>
  <c r="AR192" i="41"/>
  <c r="AS192" i="41"/>
  <c r="AT192" i="41"/>
  <c r="AU192" i="41"/>
  <c r="AV192" i="41"/>
  <c r="AW192" i="41"/>
  <c r="AX192" i="41"/>
  <c r="AY192" i="41"/>
  <c r="AZ192" i="41"/>
  <c r="BA192" i="41"/>
  <c r="BB192" i="41"/>
  <c r="BC192" i="41"/>
  <c r="BD192" i="41"/>
  <c r="F193" i="41"/>
  <c r="G193" i="41"/>
  <c r="H193" i="41"/>
  <c r="I193" i="41"/>
  <c r="J193" i="41"/>
  <c r="K193" i="41"/>
  <c r="L193" i="41"/>
  <c r="M193" i="41"/>
  <c r="N193" i="41"/>
  <c r="O193" i="41"/>
  <c r="P193" i="41"/>
  <c r="Q193" i="41"/>
  <c r="R193" i="41"/>
  <c r="S193" i="41"/>
  <c r="T193" i="41"/>
  <c r="U193" i="41"/>
  <c r="V193" i="41"/>
  <c r="W193" i="41"/>
  <c r="X193" i="41"/>
  <c r="Y193" i="41"/>
  <c r="Z193" i="41"/>
  <c r="AA193" i="41"/>
  <c r="AB193" i="41"/>
  <c r="AC193" i="41"/>
  <c r="AD193" i="41"/>
  <c r="AE193" i="41"/>
  <c r="AF193" i="41"/>
  <c r="AG193" i="41"/>
  <c r="AH193" i="41"/>
  <c r="AI193" i="41"/>
  <c r="AJ193" i="41"/>
  <c r="AK193" i="41"/>
  <c r="AL193" i="41"/>
  <c r="AM193" i="41"/>
  <c r="AN193" i="41"/>
  <c r="AO193" i="41"/>
  <c r="AP193" i="41"/>
  <c r="AQ193" i="41"/>
  <c r="AR193" i="41"/>
  <c r="AS193" i="41"/>
  <c r="AT193" i="41"/>
  <c r="AU193" i="41"/>
  <c r="AV193" i="41"/>
  <c r="AW193" i="41"/>
  <c r="AX193" i="41"/>
  <c r="AY193" i="41"/>
  <c r="AZ193" i="41"/>
  <c r="BA193" i="41"/>
  <c r="BB193" i="41"/>
  <c r="BC193" i="41"/>
  <c r="BD193" i="41"/>
  <c r="F194" i="41"/>
  <c r="G194" i="41"/>
  <c r="H194" i="41"/>
  <c r="I194" i="41"/>
  <c r="J194" i="41"/>
  <c r="K194" i="41"/>
  <c r="L194" i="41"/>
  <c r="M194" i="41"/>
  <c r="N194" i="41"/>
  <c r="O194" i="41"/>
  <c r="P194" i="41"/>
  <c r="Q194" i="41"/>
  <c r="R194" i="41"/>
  <c r="S194" i="41"/>
  <c r="T194" i="41"/>
  <c r="U194" i="41"/>
  <c r="V194" i="41"/>
  <c r="W194" i="41"/>
  <c r="X194" i="41"/>
  <c r="Y194" i="41"/>
  <c r="Z194" i="41"/>
  <c r="AA194" i="41"/>
  <c r="AB194" i="41"/>
  <c r="AC194" i="41"/>
  <c r="AD194" i="41"/>
  <c r="AE194" i="41"/>
  <c r="AF194" i="41"/>
  <c r="AG194" i="41"/>
  <c r="AH194" i="41"/>
  <c r="AI194" i="41"/>
  <c r="AJ194" i="41"/>
  <c r="AK194" i="41"/>
  <c r="AL194" i="41"/>
  <c r="AM194" i="41"/>
  <c r="AN194" i="41"/>
  <c r="AO194" i="41"/>
  <c r="AP194" i="41"/>
  <c r="AQ194" i="41"/>
  <c r="AR194" i="41"/>
  <c r="AS194" i="41"/>
  <c r="AT194" i="41"/>
  <c r="AU194" i="41"/>
  <c r="AV194" i="41"/>
  <c r="AW194" i="41"/>
  <c r="AX194" i="41"/>
  <c r="AY194" i="41"/>
  <c r="AZ194" i="41"/>
  <c r="BA194" i="41"/>
  <c r="BB194" i="41"/>
  <c r="BC194" i="41"/>
  <c r="BD194" i="41"/>
  <c r="F195" i="41"/>
  <c r="G195" i="41"/>
  <c r="H195" i="41"/>
  <c r="I195" i="41"/>
  <c r="J195" i="41"/>
  <c r="K195" i="41"/>
  <c r="L195" i="41"/>
  <c r="M195" i="41"/>
  <c r="N195" i="41"/>
  <c r="O195" i="41"/>
  <c r="P195" i="41"/>
  <c r="Q195" i="41"/>
  <c r="R195" i="41"/>
  <c r="S195" i="41"/>
  <c r="T195" i="41"/>
  <c r="U195" i="41"/>
  <c r="V195" i="41"/>
  <c r="W195" i="41"/>
  <c r="X195" i="41"/>
  <c r="Y195" i="41"/>
  <c r="Z195" i="41"/>
  <c r="AA195" i="41"/>
  <c r="AB195" i="41"/>
  <c r="AC195" i="41"/>
  <c r="AD195" i="41"/>
  <c r="AE195" i="41"/>
  <c r="AF195" i="41"/>
  <c r="AG195" i="41"/>
  <c r="AH195" i="41"/>
  <c r="AI195" i="41"/>
  <c r="AJ195" i="41"/>
  <c r="AK195" i="41"/>
  <c r="AL195" i="41"/>
  <c r="AM195" i="41"/>
  <c r="AN195" i="41"/>
  <c r="AO195" i="41"/>
  <c r="AP195" i="41"/>
  <c r="AQ195" i="41"/>
  <c r="AR195" i="41"/>
  <c r="AS195" i="41"/>
  <c r="AT195" i="41"/>
  <c r="AU195" i="41"/>
  <c r="AV195" i="41"/>
  <c r="AW195" i="41"/>
  <c r="AX195" i="41"/>
  <c r="AY195" i="41"/>
  <c r="AZ195" i="41"/>
  <c r="BA195" i="41"/>
  <c r="BB195" i="41"/>
  <c r="BC195" i="41"/>
  <c r="BD195" i="41"/>
  <c r="F196" i="41"/>
  <c r="G196" i="41"/>
  <c r="H196" i="41"/>
  <c r="I196" i="41"/>
  <c r="J196" i="41"/>
  <c r="K196" i="41"/>
  <c r="L196" i="41"/>
  <c r="M196" i="41"/>
  <c r="N196" i="41"/>
  <c r="O196" i="41"/>
  <c r="P196" i="41"/>
  <c r="Q196" i="41"/>
  <c r="R196" i="41"/>
  <c r="S196" i="41"/>
  <c r="T196" i="41"/>
  <c r="U196" i="41"/>
  <c r="V196" i="41"/>
  <c r="W196" i="41"/>
  <c r="X196" i="41"/>
  <c r="Y196" i="41"/>
  <c r="Z196" i="41"/>
  <c r="AA196" i="41"/>
  <c r="AB196" i="41"/>
  <c r="AC196" i="41"/>
  <c r="AD196" i="41"/>
  <c r="AE196" i="41"/>
  <c r="AF196" i="41"/>
  <c r="AG196" i="41"/>
  <c r="AH196" i="41"/>
  <c r="AI196" i="41"/>
  <c r="AJ196" i="41"/>
  <c r="AK196" i="41"/>
  <c r="AL196" i="41"/>
  <c r="AM196" i="41"/>
  <c r="AN196" i="41"/>
  <c r="AO196" i="41"/>
  <c r="AP196" i="41"/>
  <c r="AQ196" i="41"/>
  <c r="AR196" i="41"/>
  <c r="AS196" i="41"/>
  <c r="AT196" i="41"/>
  <c r="AU196" i="41"/>
  <c r="AV196" i="41"/>
  <c r="AW196" i="41"/>
  <c r="AX196" i="41"/>
  <c r="AY196" i="41"/>
  <c r="AZ196" i="41"/>
  <c r="BA196" i="41"/>
  <c r="BB196" i="41"/>
  <c r="BC196" i="41"/>
  <c r="BD196" i="41"/>
  <c r="F197" i="41"/>
  <c r="G197" i="41"/>
  <c r="H197" i="41"/>
  <c r="I197" i="41"/>
  <c r="J197" i="41"/>
  <c r="K197" i="41"/>
  <c r="L197" i="41"/>
  <c r="M197" i="41"/>
  <c r="N197" i="41"/>
  <c r="O197" i="41"/>
  <c r="P197" i="41"/>
  <c r="Q197" i="41"/>
  <c r="R197" i="41"/>
  <c r="S197" i="41"/>
  <c r="T197" i="41"/>
  <c r="U197" i="41"/>
  <c r="V197" i="41"/>
  <c r="W197" i="41"/>
  <c r="X197" i="41"/>
  <c r="Y197" i="41"/>
  <c r="Z197" i="41"/>
  <c r="AA197" i="41"/>
  <c r="AB197" i="41"/>
  <c r="AC197" i="41"/>
  <c r="AD197" i="41"/>
  <c r="AE197" i="41"/>
  <c r="AF197" i="41"/>
  <c r="AG197" i="41"/>
  <c r="AH197" i="41"/>
  <c r="AI197" i="41"/>
  <c r="AJ197" i="41"/>
  <c r="AK197" i="41"/>
  <c r="AL197" i="41"/>
  <c r="AM197" i="41"/>
  <c r="AN197" i="41"/>
  <c r="AO197" i="41"/>
  <c r="AP197" i="41"/>
  <c r="AQ197" i="41"/>
  <c r="AR197" i="41"/>
  <c r="AS197" i="41"/>
  <c r="AT197" i="41"/>
  <c r="AU197" i="41"/>
  <c r="AV197" i="41"/>
  <c r="AW197" i="41"/>
  <c r="AX197" i="41"/>
  <c r="AY197" i="41"/>
  <c r="AZ197" i="41"/>
  <c r="BA197" i="41"/>
  <c r="BB197" i="41"/>
  <c r="BC197" i="41"/>
  <c r="BD197" i="41"/>
  <c r="F198" i="41"/>
  <c r="G198" i="41"/>
  <c r="H198" i="41"/>
  <c r="I198" i="41"/>
  <c r="J198" i="41"/>
  <c r="K198" i="41"/>
  <c r="L198" i="41"/>
  <c r="M198" i="41"/>
  <c r="N198" i="41"/>
  <c r="O198" i="41"/>
  <c r="P198" i="41"/>
  <c r="Q198" i="41"/>
  <c r="R198" i="41"/>
  <c r="S198" i="41"/>
  <c r="T198" i="41"/>
  <c r="U198" i="41"/>
  <c r="V198" i="41"/>
  <c r="W198" i="41"/>
  <c r="X198" i="41"/>
  <c r="Y198" i="41"/>
  <c r="Z198" i="41"/>
  <c r="AA198" i="41"/>
  <c r="AB198" i="41"/>
  <c r="AC198" i="41"/>
  <c r="AD198" i="41"/>
  <c r="AE198" i="41"/>
  <c r="AF198" i="41"/>
  <c r="AG198" i="41"/>
  <c r="AH198" i="41"/>
  <c r="AI198" i="41"/>
  <c r="AJ198" i="41"/>
  <c r="AK198" i="41"/>
  <c r="AL198" i="41"/>
  <c r="AM198" i="41"/>
  <c r="AN198" i="41"/>
  <c r="AO198" i="41"/>
  <c r="AP198" i="41"/>
  <c r="AQ198" i="41"/>
  <c r="AR198" i="41"/>
  <c r="AS198" i="41"/>
  <c r="AT198" i="41"/>
  <c r="AU198" i="41"/>
  <c r="AV198" i="41"/>
  <c r="AW198" i="41"/>
  <c r="AX198" i="41"/>
  <c r="AY198" i="41"/>
  <c r="AZ198" i="41"/>
  <c r="BA198" i="41"/>
  <c r="BB198" i="41"/>
  <c r="BC198" i="41"/>
  <c r="BD198" i="41"/>
  <c r="F199" i="41"/>
  <c r="G199" i="41"/>
  <c r="H199" i="41"/>
  <c r="I199" i="41"/>
  <c r="J199" i="41"/>
  <c r="K199" i="41"/>
  <c r="L199" i="41"/>
  <c r="M199" i="41"/>
  <c r="N199" i="41"/>
  <c r="O199" i="41"/>
  <c r="P199" i="41"/>
  <c r="Q199" i="41"/>
  <c r="R199" i="41"/>
  <c r="S199" i="41"/>
  <c r="T199" i="41"/>
  <c r="U199" i="41"/>
  <c r="V199" i="41"/>
  <c r="W199" i="41"/>
  <c r="X199" i="41"/>
  <c r="Y199" i="41"/>
  <c r="Z199" i="41"/>
  <c r="AA199" i="41"/>
  <c r="AB199" i="41"/>
  <c r="AC199" i="41"/>
  <c r="AD199" i="41"/>
  <c r="AE199" i="41"/>
  <c r="AF199" i="41"/>
  <c r="AG199" i="41"/>
  <c r="AH199" i="41"/>
  <c r="AI199" i="41"/>
  <c r="AJ199" i="41"/>
  <c r="AK199" i="41"/>
  <c r="AL199" i="41"/>
  <c r="AM199" i="41"/>
  <c r="AN199" i="41"/>
  <c r="AO199" i="41"/>
  <c r="AP199" i="41"/>
  <c r="AQ199" i="41"/>
  <c r="AR199" i="41"/>
  <c r="AS199" i="41"/>
  <c r="AT199" i="41"/>
  <c r="AU199" i="41"/>
  <c r="AV199" i="41"/>
  <c r="AW199" i="41"/>
  <c r="AX199" i="41"/>
  <c r="AY199" i="41"/>
  <c r="AZ199" i="41"/>
  <c r="BA199" i="41"/>
  <c r="BB199" i="41"/>
  <c r="BC199" i="41"/>
  <c r="BD199" i="41"/>
  <c r="F200" i="41"/>
  <c r="G200" i="41"/>
  <c r="H200" i="41"/>
  <c r="I200" i="41"/>
  <c r="J200" i="41"/>
  <c r="K200" i="41"/>
  <c r="L200" i="41"/>
  <c r="M200" i="41"/>
  <c r="N200" i="41"/>
  <c r="O200" i="41"/>
  <c r="P200" i="41"/>
  <c r="Q200" i="41"/>
  <c r="R200" i="41"/>
  <c r="S200" i="41"/>
  <c r="T200" i="41"/>
  <c r="U200" i="41"/>
  <c r="V200" i="41"/>
  <c r="W200" i="41"/>
  <c r="X200" i="41"/>
  <c r="Y200" i="41"/>
  <c r="Z200" i="41"/>
  <c r="AA200" i="41"/>
  <c r="AB200" i="41"/>
  <c r="AC200" i="41"/>
  <c r="AD200" i="41"/>
  <c r="AE200" i="41"/>
  <c r="AF200" i="41"/>
  <c r="AG200" i="41"/>
  <c r="AH200" i="41"/>
  <c r="AI200" i="41"/>
  <c r="AJ200" i="41"/>
  <c r="AK200" i="41"/>
  <c r="AL200" i="41"/>
  <c r="AM200" i="41"/>
  <c r="AN200" i="41"/>
  <c r="AO200" i="41"/>
  <c r="AP200" i="41"/>
  <c r="AQ200" i="41"/>
  <c r="AR200" i="41"/>
  <c r="AS200" i="41"/>
  <c r="AT200" i="41"/>
  <c r="AU200" i="41"/>
  <c r="AV200" i="41"/>
  <c r="AW200" i="41"/>
  <c r="AX200" i="41"/>
  <c r="AY200" i="41"/>
  <c r="AZ200" i="41"/>
  <c r="BA200" i="41"/>
  <c r="BB200" i="41"/>
  <c r="BC200" i="41"/>
  <c r="BD200" i="41"/>
  <c r="F201" i="41"/>
  <c r="G201" i="41"/>
  <c r="H201" i="41"/>
  <c r="I201" i="41"/>
  <c r="J201" i="41"/>
  <c r="K201" i="41"/>
  <c r="L201" i="41"/>
  <c r="M201" i="41"/>
  <c r="N201" i="41"/>
  <c r="O201" i="41"/>
  <c r="P201" i="41"/>
  <c r="Q201" i="41"/>
  <c r="R201" i="41"/>
  <c r="S201" i="41"/>
  <c r="T201" i="41"/>
  <c r="U201" i="41"/>
  <c r="V201" i="41"/>
  <c r="W201" i="41"/>
  <c r="X201" i="41"/>
  <c r="Y201" i="41"/>
  <c r="Z201" i="41"/>
  <c r="AA201" i="41"/>
  <c r="AB201" i="41"/>
  <c r="AC201" i="41"/>
  <c r="AD201" i="41"/>
  <c r="AE201" i="41"/>
  <c r="AF201" i="41"/>
  <c r="AG201" i="41"/>
  <c r="AH201" i="41"/>
  <c r="AI201" i="41"/>
  <c r="AJ201" i="41"/>
  <c r="AK201" i="41"/>
  <c r="AL201" i="41"/>
  <c r="AM201" i="41"/>
  <c r="AN201" i="41"/>
  <c r="AO201" i="41"/>
  <c r="AP201" i="41"/>
  <c r="AQ201" i="41"/>
  <c r="AR201" i="41"/>
  <c r="AS201" i="41"/>
  <c r="AT201" i="41"/>
  <c r="AU201" i="41"/>
  <c r="AV201" i="41"/>
  <c r="AW201" i="41"/>
  <c r="AX201" i="41"/>
  <c r="AY201" i="41"/>
  <c r="AZ201" i="41"/>
  <c r="BA201" i="41"/>
  <c r="BB201" i="41"/>
  <c r="BC201" i="41"/>
  <c r="BD201" i="41"/>
  <c r="F202" i="41"/>
  <c r="G202" i="41"/>
  <c r="H202" i="41"/>
  <c r="I202" i="41"/>
  <c r="J202" i="41"/>
  <c r="K202" i="41"/>
  <c r="L202" i="41"/>
  <c r="M202" i="41"/>
  <c r="N202" i="41"/>
  <c r="O202" i="41"/>
  <c r="P202" i="41"/>
  <c r="Q202" i="41"/>
  <c r="R202" i="41"/>
  <c r="S202" i="41"/>
  <c r="T202" i="41"/>
  <c r="U202" i="41"/>
  <c r="V202" i="41"/>
  <c r="W202" i="41"/>
  <c r="X202" i="41"/>
  <c r="Y202" i="41"/>
  <c r="Z202" i="41"/>
  <c r="AA202" i="41"/>
  <c r="AB202" i="41"/>
  <c r="AC202" i="41"/>
  <c r="AD202" i="41"/>
  <c r="AE202" i="41"/>
  <c r="AF202" i="41"/>
  <c r="AG202" i="41"/>
  <c r="AH202" i="41"/>
  <c r="AI202" i="41"/>
  <c r="AJ202" i="41"/>
  <c r="AK202" i="41"/>
  <c r="AL202" i="41"/>
  <c r="AM202" i="41"/>
  <c r="AN202" i="41"/>
  <c r="AO202" i="41"/>
  <c r="AP202" i="41"/>
  <c r="AQ202" i="41"/>
  <c r="AR202" i="41"/>
  <c r="AS202" i="41"/>
  <c r="AT202" i="41"/>
  <c r="AU202" i="41"/>
  <c r="AV202" i="41"/>
  <c r="AW202" i="41"/>
  <c r="AX202" i="41"/>
  <c r="AY202" i="41"/>
  <c r="AZ202" i="41"/>
  <c r="BA202" i="41"/>
  <c r="BB202" i="41"/>
  <c r="BC202" i="41"/>
  <c r="BD202" i="41"/>
  <c r="F203" i="41"/>
  <c r="G203" i="41"/>
  <c r="H203" i="41"/>
  <c r="I203" i="41"/>
  <c r="J203" i="41"/>
  <c r="K203" i="41"/>
  <c r="L203" i="41"/>
  <c r="M203" i="41"/>
  <c r="N203" i="41"/>
  <c r="O203" i="41"/>
  <c r="P203" i="41"/>
  <c r="Q203" i="41"/>
  <c r="R203" i="41"/>
  <c r="S203" i="41"/>
  <c r="T203" i="41"/>
  <c r="U203" i="41"/>
  <c r="V203" i="41"/>
  <c r="W203" i="41"/>
  <c r="X203" i="41"/>
  <c r="Y203" i="41"/>
  <c r="Z203" i="41"/>
  <c r="AA203" i="41"/>
  <c r="AB203" i="41"/>
  <c r="AC203" i="41"/>
  <c r="AD203" i="41"/>
  <c r="AE203" i="41"/>
  <c r="AF203" i="41"/>
  <c r="AG203" i="41"/>
  <c r="AH203" i="41"/>
  <c r="AI203" i="41"/>
  <c r="AJ203" i="41"/>
  <c r="AK203" i="41"/>
  <c r="AL203" i="41"/>
  <c r="AM203" i="41"/>
  <c r="AN203" i="41"/>
  <c r="AO203" i="41"/>
  <c r="AP203" i="41"/>
  <c r="AQ203" i="41"/>
  <c r="AR203" i="41"/>
  <c r="AS203" i="41"/>
  <c r="AT203" i="41"/>
  <c r="AU203" i="41"/>
  <c r="AV203" i="41"/>
  <c r="AW203" i="41"/>
  <c r="AX203" i="41"/>
  <c r="AY203" i="41"/>
  <c r="AZ203" i="41"/>
  <c r="BA203" i="41"/>
  <c r="BB203" i="41"/>
  <c r="BC203" i="41"/>
  <c r="BD203" i="41"/>
  <c r="F204" i="41"/>
  <c r="G204" i="41"/>
  <c r="H204" i="41"/>
  <c r="I204" i="41"/>
  <c r="J204" i="41"/>
  <c r="K204" i="41"/>
  <c r="L204" i="41"/>
  <c r="M204" i="41"/>
  <c r="N204" i="41"/>
  <c r="O204" i="41"/>
  <c r="P204" i="41"/>
  <c r="Q204" i="41"/>
  <c r="R204" i="41"/>
  <c r="S204" i="41"/>
  <c r="T204" i="41"/>
  <c r="U204" i="41"/>
  <c r="V204" i="41"/>
  <c r="W204" i="41"/>
  <c r="X204" i="41"/>
  <c r="Y204" i="41"/>
  <c r="Z204" i="41"/>
  <c r="AA204" i="41"/>
  <c r="AB204" i="41"/>
  <c r="AC204" i="41"/>
  <c r="AD204" i="41"/>
  <c r="AE204" i="41"/>
  <c r="AF204" i="41"/>
  <c r="AG204" i="41"/>
  <c r="AH204" i="41"/>
  <c r="AI204" i="41"/>
  <c r="AJ204" i="41"/>
  <c r="AK204" i="41"/>
  <c r="AL204" i="41"/>
  <c r="AM204" i="41"/>
  <c r="AN204" i="41"/>
  <c r="AO204" i="41"/>
  <c r="AP204" i="41"/>
  <c r="AQ204" i="41"/>
  <c r="AR204" i="41"/>
  <c r="AS204" i="41"/>
  <c r="AT204" i="41"/>
  <c r="AU204" i="41"/>
  <c r="AV204" i="41"/>
  <c r="AW204" i="41"/>
  <c r="AX204" i="41"/>
  <c r="AY204" i="41"/>
  <c r="AZ204" i="41"/>
  <c r="BA204" i="41"/>
  <c r="BB204" i="41"/>
  <c r="BC204" i="41"/>
  <c r="BD204" i="41"/>
  <c r="F205" i="41"/>
  <c r="G205" i="41"/>
  <c r="H205" i="41"/>
  <c r="I205" i="41"/>
  <c r="J205" i="41"/>
  <c r="K205" i="41"/>
  <c r="L205" i="41"/>
  <c r="M205" i="41"/>
  <c r="N205" i="41"/>
  <c r="O205" i="41"/>
  <c r="P205" i="41"/>
  <c r="Q205" i="41"/>
  <c r="R205" i="41"/>
  <c r="S205" i="41"/>
  <c r="T205" i="41"/>
  <c r="U205" i="41"/>
  <c r="V205" i="41"/>
  <c r="W205" i="41"/>
  <c r="X205" i="41"/>
  <c r="Y205" i="41"/>
  <c r="Z205" i="41"/>
  <c r="AA205" i="41"/>
  <c r="AB205" i="41"/>
  <c r="AC205" i="41"/>
  <c r="AD205" i="41"/>
  <c r="AE205" i="41"/>
  <c r="AF205" i="41"/>
  <c r="AG205" i="41"/>
  <c r="AH205" i="41"/>
  <c r="AI205" i="41"/>
  <c r="AJ205" i="41"/>
  <c r="AK205" i="41"/>
  <c r="AL205" i="41"/>
  <c r="AM205" i="41"/>
  <c r="AN205" i="41"/>
  <c r="AO205" i="41"/>
  <c r="AP205" i="41"/>
  <c r="AQ205" i="41"/>
  <c r="AR205" i="41"/>
  <c r="AS205" i="41"/>
  <c r="AT205" i="41"/>
  <c r="AU205" i="41"/>
  <c r="AV205" i="41"/>
  <c r="AW205" i="41"/>
  <c r="AX205" i="41"/>
  <c r="AY205" i="41"/>
  <c r="AZ205" i="41"/>
  <c r="BA205" i="41"/>
  <c r="BB205" i="41"/>
  <c r="BC205" i="41"/>
  <c r="BD205" i="41"/>
  <c r="F206" i="41"/>
  <c r="G206" i="41"/>
  <c r="H206" i="41"/>
  <c r="I206" i="41"/>
  <c r="J206" i="41"/>
  <c r="K206" i="41"/>
  <c r="L206" i="41"/>
  <c r="M206" i="41"/>
  <c r="N206" i="41"/>
  <c r="O206" i="41"/>
  <c r="P206" i="41"/>
  <c r="Q206" i="41"/>
  <c r="R206" i="41"/>
  <c r="S206" i="41"/>
  <c r="T206" i="41"/>
  <c r="U206" i="41"/>
  <c r="V206" i="41"/>
  <c r="W206" i="41"/>
  <c r="X206" i="41"/>
  <c r="Y206" i="41"/>
  <c r="Z206" i="41"/>
  <c r="AA206" i="41"/>
  <c r="AB206" i="41"/>
  <c r="AC206" i="41"/>
  <c r="AD206" i="41"/>
  <c r="AE206" i="41"/>
  <c r="AF206" i="41"/>
  <c r="AG206" i="41"/>
  <c r="AH206" i="41"/>
  <c r="AI206" i="41"/>
  <c r="AJ206" i="41"/>
  <c r="AK206" i="41"/>
  <c r="AL206" i="41"/>
  <c r="AM206" i="41"/>
  <c r="AN206" i="41"/>
  <c r="AO206" i="41"/>
  <c r="AP206" i="41"/>
  <c r="AQ206" i="41"/>
  <c r="AR206" i="41"/>
  <c r="AS206" i="41"/>
  <c r="AT206" i="41"/>
  <c r="AU206" i="41"/>
  <c r="AV206" i="41"/>
  <c r="AW206" i="41"/>
  <c r="AX206" i="41"/>
  <c r="AY206" i="41"/>
  <c r="AZ206" i="41"/>
  <c r="BA206" i="41"/>
  <c r="BB206" i="41"/>
  <c r="BC206" i="41"/>
  <c r="BD206" i="41"/>
  <c r="F207" i="41"/>
  <c r="G207" i="41"/>
  <c r="H207" i="41"/>
  <c r="I207" i="41"/>
  <c r="J207" i="41"/>
  <c r="K207" i="41"/>
  <c r="L207" i="41"/>
  <c r="M207" i="41"/>
  <c r="N207" i="41"/>
  <c r="O207" i="41"/>
  <c r="P207" i="41"/>
  <c r="Q207" i="41"/>
  <c r="R207" i="41"/>
  <c r="S207" i="41"/>
  <c r="T207" i="41"/>
  <c r="U207" i="41"/>
  <c r="V207" i="41"/>
  <c r="W207" i="41"/>
  <c r="X207" i="41"/>
  <c r="Y207" i="41"/>
  <c r="Z207" i="41"/>
  <c r="AA207" i="41"/>
  <c r="AB207" i="41"/>
  <c r="AC207" i="41"/>
  <c r="AD207" i="41"/>
  <c r="AE207" i="41"/>
  <c r="AF207" i="41"/>
  <c r="AG207" i="41"/>
  <c r="AH207" i="41"/>
  <c r="AI207" i="41"/>
  <c r="AJ207" i="41"/>
  <c r="AK207" i="41"/>
  <c r="AL207" i="41"/>
  <c r="AM207" i="41"/>
  <c r="AN207" i="41"/>
  <c r="AO207" i="41"/>
  <c r="AP207" i="41"/>
  <c r="AQ207" i="41"/>
  <c r="AR207" i="41"/>
  <c r="AS207" i="41"/>
  <c r="AT207" i="41"/>
  <c r="AU207" i="41"/>
  <c r="AV207" i="41"/>
  <c r="AW207" i="41"/>
  <c r="AX207" i="41"/>
  <c r="AY207" i="41"/>
  <c r="AZ207" i="41"/>
  <c r="BA207" i="41"/>
  <c r="BB207" i="41"/>
  <c r="BC207" i="41"/>
  <c r="BD207" i="41"/>
  <c r="F208" i="41"/>
  <c r="G208" i="41"/>
  <c r="H208" i="41"/>
  <c r="I208" i="41"/>
  <c r="J208" i="41"/>
  <c r="K208" i="41"/>
  <c r="L208" i="41"/>
  <c r="M208" i="41"/>
  <c r="N208" i="41"/>
  <c r="O208" i="41"/>
  <c r="P208" i="41"/>
  <c r="Q208" i="41"/>
  <c r="R208" i="41"/>
  <c r="S208" i="41"/>
  <c r="T208" i="41"/>
  <c r="U208" i="41"/>
  <c r="V208" i="41"/>
  <c r="W208" i="41"/>
  <c r="X208" i="41"/>
  <c r="Y208" i="41"/>
  <c r="Z208" i="41"/>
  <c r="AA208" i="41"/>
  <c r="AB208" i="41"/>
  <c r="AC208" i="41"/>
  <c r="AD208" i="41"/>
  <c r="AE208" i="41"/>
  <c r="AF208" i="41"/>
  <c r="AG208" i="41"/>
  <c r="AH208" i="41"/>
  <c r="AI208" i="41"/>
  <c r="AJ208" i="41"/>
  <c r="AK208" i="41"/>
  <c r="AL208" i="41"/>
  <c r="AM208" i="41"/>
  <c r="AN208" i="41"/>
  <c r="AO208" i="41"/>
  <c r="AP208" i="41"/>
  <c r="AQ208" i="41"/>
  <c r="AR208" i="41"/>
  <c r="AS208" i="41"/>
  <c r="AT208" i="41"/>
  <c r="AU208" i="41"/>
  <c r="AV208" i="41"/>
  <c r="AW208" i="41"/>
  <c r="AX208" i="41"/>
  <c r="AY208" i="41"/>
  <c r="AZ208" i="41"/>
  <c r="BA208" i="41"/>
  <c r="BB208" i="41"/>
  <c r="BC208" i="41"/>
  <c r="BD208" i="41"/>
  <c r="F209" i="41"/>
  <c r="G209" i="41"/>
  <c r="H209" i="41"/>
  <c r="I209" i="41"/>
  <c r="J209" i="41"/>
  <c r="K209" i="41"/>
  <c r="L209" i="41"/>
  <c r="M209" i="41"/>
  <c r="N209" i="41"/>
  <c r="O209" i="41"/>
  <c r="P209" i="41"/>
  <c r="Q209" i="41"/>
  <c r="R209" i="41"/>
  <c r="S209" i="41"/>
  <c r="T209" i="41"/>
  <c r="U209" i="41"/>
  <c r="V209" i="41"/>
  <c r="W209" i="41"/>
  <c r="X209" i="41"/>
  <c r="Y209" i="41"/>
  <c r="Z209" i="41"/>
  <c r="AA209" i="41"/>
  <c r="AB209" i="41"/>
  <c r="AC209" i="41"/>
  <c r="AD209" i="41"/>
  <c r="AE209" i="41"/>
  <c r="AF209" i="41"/>
  <c r="AG209" i="41"/>
  <c r="AH209" i="41"/>
  <c r="AI209" i="41"/>
  <c r="AJ209" i="41"/>
  <c r="AK209" i="41"/>
  <c r="AL209" i="41"/>
  <c r="AM209" i="41"/>
  <c r="AN209" i="41"/>
  <c r="AO209" i="41"/>
  <c r="AP209" i="41"/>
  <c r="AQ209" i="41"/>
  <c r="AR209" i="41"/>
  <c r="AS209" i="41"/>
  <c r="AT209" i="41"/>
  <c r="AU209" i="41"/>
  <c r="AV209" i="41"/>
  <c r="AW209" i="41"/>
  <c r="AX209" i="41"/>
  <c r="AY209" i="41"/>
  <c r="AZ209" i="41"/>
  <c r="BA209" i="41"/>
  <c r="BB209" i="41"/>
  <c r="BC209" i="41"/>
  <c r="BD209" i="41"/>
  <c r="F210" i="41"/>
  <c r="G210" i="41"/>
  <c r="H210" i="41"/>
  <c r="I210" i="41"/>
  <c r="J210" i="41"/>
  <c r="K210" i="41"/>
  <c r="L210" i="41"/>
  <c r="M210" i="41"/>
  <c r="N210" i="41"/>
  <c r="O210" i="41"/>
  <c r="P210" i="41"/>
  <c r="Q210" i="41"/>
  <c r="R210" i="41"/>
  <c r="S210" i="41"/>
  <c r="T210" i="41"/>
  <c r="U210" i="41"/>
  <c r="V210" i="41"/>
  <c r="W210" i="41"/>
  <c r="X210" i="41"/>
  <c r="Y210" i="41"/>
  <c r="Z210" i="41"/>
  <c r="AA210" i="41"/>
  <c r="AB210" i="41"/>
  <c r="AC210" i="41"/>
  <c r="AD210" i="41"/>
  <c r="AE210" i="41"/>
  <c r="AF210" i="41"/>
  <c r="AG210" i="41"/>
  <c r="AH210" i="41"/>
  <c r="AI210" i="41"/>
  <c r="AJ210" i="41"/>
  <c r="AK210" i="41"/>
  <c r="AL210" i="41"/>
  <c r="AM210" i="41"/>
  <c r="AN210" i="41"/>
  <c r="AO210" i="41"/>
  <c r="AP210" i="41"/>
  <c r="AQ210" i="41"/>
  <c r="AR210" i="41"/>
  <c r="AS210" i="41"/>
  <c r="AT210" i="41"/>
  <c r="AU210" i="41"/>
  <c r="AV210" i="41"/>
  <c r="AW210" i="41"/>
  <c r="AX210" i="41"/>
  <c r="AY210" i="41"/>
  <c r="AZ210" i="41"/>
  <c r="BA210" i="41"/>
  <c r="BB210" i="41"/>
  <c r="BC210" i="41"/>
  <c r="BD210" i="41"/>
  <c r="F211" i="41"/>
  <c r="G211" i="41"/>
  <c r="H211" i="41"/>
  <c r="I211" i="41"/>
  <c r="J211" i="41"/>
  <c r="K211" i="41"/>
  <c r="L211" i="41"/>
  <c r="M211" i="41"/>
  <c r="N211" i="41"/>
  <c r="O211" i="41"/>
  <c r="P211" i="41"/>
  <c r="Q211" i="41"/>
  <c r="R211" i="41"/>
  <c r="S211" i="41"/>
  <c r="T211" i="41"/>
  <c r="U211" i="41"/>
  <c r="V211" i="41"/>
  <c r="W211" i="41"/>
  <c r="X211" i="41"/>
  <c r="Y211" i="41"/>
  <c r="Z211" i="41"/>
  <c r="AA211" i="41"/>
  <c r="AB211" i="41"/>
  <c r="AC211" i="41"/>
  <c r="AD211" i="41"/>
  <c r="AE211" i="41"/>
  <c r="AF211" i="41"/>
  <c r="AG211" i="41"/>
  <c r="AH211" i="41"/>
  <c r="AI211" i="41"/>
  <c r="AJ211" i="41"/>
  <c r="AK211" i="41"/>
  <c r="AL211" i="41"/>
  <c r="AM211" i="41"/>
  <c r="AN211" i="41"/>
  <c r="AO211" i="41"/>
  <c r="AP211" i="41"/>
  <c r="AQ211" i="41"/>
  <c r="AR211" i="41"/>
  <c r="AS211" i="41"/>
  <c r="AT211" i="41"/>
  <c r="AU211" i="41"/>
  <c r="AV211" i="41"/>
  <c r="AW211" i="41"/>
  <c r="AX211" i="41"/>
  <c r="AY211" i="41"/>
  <c r="AZ211" i="41"/>
  <c r="BA211" i="41"/>
  <c r="BB211" i="41"/>
  <c r="BC211" i="41"/>
  <c r="BD211" i="41"/>
  <c r="F212" i="41"/>
  <c r="G212" i="41"/>
  <c r="H212" i="41"/>
  <c r="I212" i="41"/>
  <c r="J212" i="41"/>
  <c r="K212" i="41"/>
  <c r="L212" i="41"/>
  <c r="M212" i="41"/>
  <c r="N212" i="41"/>
  <c r="O212" i="41"/>
  <c r="P212" i="41"/>
  <c r="Q212" i="41"/>
  <c r="R212" i="41"/>
  <c r="S212" i="41"/>
  <c r="T212" i="41"/>
  <c r="U212" i="41"/>
  <c r="V212" i="41"/>
  <c r="W212" i="41"/>
  <c r="X212" i="41"/>
  <c r="Y212" i="41"/>
  <c r="Z212" i="41"/>
  <c r="AA212" i="41"/>
  <c r="AB212" i="41"/>
  <c r="AC212" i="41"/>
  <c r="AD212" i="41"/>
  <c r="AE212" i="41"/>
  <c r="AF212" i="41"/>
  <c r="AG212" i="41"/>
  <c r="AH212" i="41"/>
  <c r="AI212" i="41"/>
  <c r="AJ212" i="41"/>
  <c r="AK212" i="41"/>
  <c r="AL212" i="41"/>
  <c r="AM212" i="41"/>
  <c r="AN212" i="41"/>
  <c r="AO212" i="41"/>
  <c r="AP212" i="41"/>
  <c r="AQ212" i="41"/>
  <c r="AR212" i="41"/>
  <c r="AS212" i="41"/>
  <c r="AT212" i="41"/>
  <c r="AU212" i="41"/>
  <c r="AV212" i="41"/>
  <c r="AW212" i="41"/>
  <c r="AX212" i="41"/>
  <c r="AY212" i="41"/>
  <c r="AZ212" i="41"/>
  <c r="BA212" i="41"/>
  <c r="BB212" i="41"/>
  <c r="BC212" i="41"/>
  <c r="BD212" i="41"/>
  <c r="F213" i="41"/>
  <c r="G213" i="41"/>
  <c r="H213" i="41"/>
  <c r="I213" i="41"/>
  <c r="J213" i="41"/>
  <c r="K213" i="41"/>
  <c r="L213" i="41"/>
  <c r="M213" i="41"/>
  <c r="N213" i="41"/>
  <c r="O213" i="41"/>
  <c r="P213" i="41"/>
  <c r="Q213" i="41"/>
  <c r="R213" i="41"/>
  <c r="S213" i="41"/>
  <c r="T213" i="41"/>
  <c r="U213" i="41"/>
  <c r="V213" i="41"/>
  <c r="W213" i="41"/>
  <c r="X213" i="41"/>
  <c r="Y213" i="41"/>
  <c r="Z213" i="41"/>
  <c r="AA213" i="41"/>
  <c r="AB213" i="41"/>
  <c r="AC213" i="41"/>
  <c r="AD213" i="41"/>
  <c r="AE213" i="41"/>
  <c r="AF213" i="41"/>
  <c r="AG213" i="41"/>
  <c r="AH213" i="41"/>
  <c r="AI213" i="41"/>
  <c r="AJ213" i="41"/>
  <c r="AK213" i="41"/>
  <c r="AL213" i="41"/>
  <c r="AM213" i="41"/>
  <c r="AN213" i="41"/>
  <c r="AO213" i="41"/>
  <c r="AP213" i="41"/>
  <c r="AQ213" i="41"/>
  <c r="AR213" i="41"/>
  <c r="AS213" i="41"/>
  <c r="AT213" i="41"/>
  <c r="AU213" i="41"/>
  <c r="AV213" i="41"/>
  <c r="AW213" i="41"/>
  <c r="AX213" i="41"/>
  <c r="AY213" i="41"/>
  <c r="AZ213" i="41"/>
  <c r="BA213" i="41"/>
  <c r="BB213" i="41"/>
  <c r="BC213" i="41"/>
  <c r="BD213" i="41"/>
  <c r="F214" i="41"/>
  <c r="G214" i="41"/>
  <c r="H214" i="41"/>
  <c r="I214" i="41"/>
  <c r="J214" i="41"/>
  <c r="K214" i="41"/>
  <c r="L214" i="41"/>
  <c r="M214" i="41"/>
  <c r="N214" i="41"/>
  <c r="O214" i="41"/>
  <c r="P214" i="41"/>
  <c r="Q214" i="41"/>
  <c r="R214" i="41"/>
  <c r="S214" i="41"/>
  <c r="T214" i="41"/>
  <c r="U214" i="41"/>
  <c r="V214" i="41"/>
  <c r="W214" i="41"/>
  <c r="X214" i="41"/>
  <c r="Y214" i="41"/>
  <c r="Z214" i="41"/>
  <c r="AA214" i="41"/>
  <c r="AB214" i="41"/>
  <c r="AC214" i="41"/>
  <c r="AD214" i="41"/>
  <c r="AE214" i="41"/>
  <c r="AF214" i="41"/>
  <c r="AG214" i="41"/>
  <c r="AH214" i="41"/>
  <c r="AI214" i="41"/>
  <c r="AJ214" i="41"/>
  <c r="AK214" i="41"/>
  <c r="AL214" i="41"/>
  <c r="AM214" i="41"/>
  <c r="AN214" i="41"/>
  <c r="AO214" i="41"/>
  <c r="AP214" i="41"/>
  <c r="AQ214" i="41"/>
  <c r="AR214" i="41"/>
  <c r="AS214" i="41"/>
  <c r="AT214" i="41"/>
  <c r="AU214" i="41"/>
  <c r="AV214" i="41"/>
  <c r="AW214" i="41"/>
  <c r="AX214" i="41"/>
  <c r="AY214" i="41"/>
  <c r="AZ214" i="41"/>
  <c r="BA214" i="41"/>
  <c r="BB214" i="41"/>
  <c r="BC214" i="41"/>
  <c r="BD214" i="41"/>
  <c r="F215" i="41"/>
  <c r="G215" i="41"/>
  <c r="H215" i="41"/>
  <c r="I215" i="41"/>
  <c r="J215" i="41"/>
  <c r="K215" i="41"/>
  <c r="L215" i="41"/>
  <c r="M215" i="41"/>
  <c r="N215" i="41"/>
  <c r="O215" i="41"/>
  <c r="P215" i="41"/>
  <c r="Q215" i="41"/>
  <c r="R215" i="41"/>
  <c r="S215" i="41"/>
  <c r="T215" i="41"/>
  <c r="U215" i="41"/>
  <c r="V215" i="41"/>
  <c r="W215" i="41"/>
  <c r="X215" i="41"/>
  <c r="Y215" i="41"/>
  <c r="Z215" i="41"/>
  <c r="AA215" i="41"/>
  <c r="AB215" i="41"/>
  <c r="AC215" i="41"/>
  <c r="AD215" i="41"/>
  <c r="AE215" i="41"/>
  <c r="AF215" i="41"/>
  <c r="AG215" i="41"/>
  <c r="AH215" i="41"/>
  <c r="AI215" i="41"/>
  <c r="AJ215" i="41"/>
  <c r="AK215" i="41"/>
  <c r="AL215" i="41"/>
  <c r="AM215" i="41"/>
  <c r="AN215" i="41"/>
  <c r="AO215" i="41"/>
  <c r="AP215" i="41"/>
  <c r="AQ215" i="41"/>
  <c r="AR215" i="41"/>
  <c r="AS215" i="41"/>
  <c r="AT215" i="41"/>
  <c r="AU215" i="41"/>
  <c r="AV215" i="41"/>
  <c r="AW215" i="41"/>
  <c r="AX215" i="41"/>
  <c r="AY215" i="41"/>
  <c r="AZ215" i="41"/>
  <c r="BA215" i="41"/>
  <c r="BB215" i="41"/>
  <c r="BC215" i="41"/>
  <c r="BD215" i="41"/>
  <c r="E284" i="41"/>
  <c r="E283" i="41"/>
  <c r="E282" i="41"/>
  <c r="E281" i="41"/>
  <c r="E280" i="41"/>
  <c r="E279" i="41"/>
  <c r="E278" i="41"/>
  <c r="E277" i="41"/>
  <c r="E276" i="41"/>
  <c r="E275" i="41"/>
  <c r="E274" i="41"/>
  <c r="E273" i="41"/>
  <c r="E272" i="41"/>
  <c r="E271" i="41"/>
  <c r="E270" i="41"/>
  <c r="E269" i="41"/>
  <c r="E268" i="41"/>
  <c r="E267" i="41"/>
  <c r="E266" i="41"/>
  <c r="E265" i="41"/>
  <c r="E264" i="41"/>
  <c r="E263" i="41"/>
  <c r="E262" i="41"/>
  <c r="E261" i="41"/>
  <c r="E260" i="41"/>
  <c r="E259" i="41"/>
  <c r="E258" i="41"/>
  <c r="E257" i="41"/>
  <c r="E256" i="41"/>
  <c r="E255" i="41"/>
  <c r="E254" i="41"/>
  <c r="E253" i="41"/>
  <c r="E252" i="41"/>
  <c r="E251" i="41"/>
  <c r="E250" i="41"/>
  <c r="E249" i="41"/>
  <c r="E248" i="41"/>
  <c r="E247" i="41"/>
  <c r="E246" i="41"/>
  <c r="E245" i="41"/>
  <c r="E244" i="41"/>
  <c r="E243" i="41"/>
  <c r="E242" i="41"/>
  <c r="E241" i="41"/>
  <c r="E240" i="41"/>
  <c r="E239" i="41"/>
  <c r="E238" i="41"/>
  <c r="E237" i="41"/>
  <c r="E236" i="41"/>
  <c r="E235" i="41"/>
  <c r="E234" i="41"/>
  <c r="E233" i="41"/>
  <c r="E232" i="41"/>
  <c r="E231" i="41"/>
  <c r="E230" i="41"/>
  <c r="E229" i="41"/>
  <c r="E228" i="41"/>
  <c r="E227" i="41"/>
  <c r="E226" i="41"/>
  <c r="E225" i="41"/>
  <c r="E224" i="41"/>
  <c r="E223" i="41"/>
  <c r="E222" i="41"/>
  <c r="E221" i="41"/>
  <c r="E220" i="41"/>
  <c r="E214" i="41"/>
  <c r="E213" i="41"/>
  <c r="E212" i="41"/>
  <c r="E211" i="41"/>
  <c r="E210" i="41"/>
  <c r="E209" i="41"/>
  <c r="E208" i="41"/>
  <c r="E207" i="41"/>
  <c r="E206" i="41"/>
  <c r="E205" i="41"/>
  <c r="E204" i="41"/>
  <c r="E203" i="41"/>
  <c r="E202" i="41"/>
  <c r="E201" i="41"/>
  <c r="E200" i="41"/>
  <c r="E199" i="41"/>
  <c r="E198" i="41"/>
  <c r="E197" i="41"/>
  <c r="E196" i="41"/>
  <c r="E195" i="41"/>
  <c r="E194" i="41"/>
  <c r="E193" i="41"/>
  <c r="E192" i="41"/>
  <c r="E191" i="41"/>
  <c r="E190" i="41"/>
  <c r="E189" i="41"/>
  <c r="E188" i="41"/>
  <c r="E187" i="41"/>
  <c r="E186" i="41"/>
  <c r="E185" i="41"/>
  <c r="E184" i="41"/>
  <c r="E183" i="41"/>
  <c r="E182" i="41"/>
  <c r="E181" i="41"/>
  <c r="E180" i="41"/>
  <c r="E179" i="41"/>
  <c r="E178" i="41"/>
  <c r="E177" i="41"/>
  <c r="E176" i="41"/>
  <c r="E175" i="41"/>
  <c r="E174" i="41"/>
  <c r="E173" i="41"/>
  <c r="E172" i="41"/>
  <c r="E171" i="41"/>
  <c r="E170" i="41"/>
  <c r="E169" i="41"/>
  <c r="E168" i="41"/>
  <c r="E167" i="41"/>
  <c r="E166" i="41"/>
  <c r="E165" i="41"/>
  <c r="E164" i="41"/>
  <c r="E163" i="41"/>
  <c r="E162" i="41"/>
  <c r="E161" i="41"/>
  <c r="E160" i="41"/>
  <c r="E159" i="41"/>
  <c r="E158" i="41"/>
  <c r="E157" i="41"/>
  <c r="E156" i="41"/>
  <c r="E155" i="41"/>
  <c r="E154" i="41"/>
  <c r="E153" i="41"/>
  <c r="E152" i="41"/>
  <c r="E151" i="41"/>
  <c r="E150" i="41"/>
  <c r="E285" i="41"/>
  <c r="E215" i="41"/>
  <c r="L159" i="64" l="1"/>
  <c r="L162" i="64" s="1"/>
  <c r="L83" i="64" s="1"/>
  <c r="L84" i="64" s="1"/>
  <c r="L476" i="64"/>
  <c r="K52" i="64"/>
  <c r="K54" i="64" s="1"/>
  <c r="K57" i="64" s="1"/>
  <c r="L92" i="64"/>
  <c r="S126" i="64"/>
  <c r="S358" i="64"/>
  <c r="S125" i="64"/>
  <c r="S426" i="64"/>
  <c r="S131" i="64"/>
  <c r="S428" i="64"/>
  <c r="S352" i="64"/>
  <c r="S129" i="64"/>
  <c r="L217" i="64"/>
  <c r="L86" i="64" s="1"/>
  <c r="S190" i="64"/>
  <c r="N199" i="64"/>
  <c r="S361" i="64"/>
  <c r="M420" i="64"/>
  <c r="M422" i="64" s="1"/>
  <c r="L415" i="64"/>
  <c r="L416" i="64" s="1"/>
  <c r="R282" i="64"/>
  <c r="N216" i="64"/>
  <c r="S193" i="64"/>
  <c r="S192" i="64" s="1"/>
  <c r="R507" i="64"/>
  <c r="R328" i="64"/>
  <c r="R39" i="64" s="1"/>
  <c r="M495" i="64"/>
  <c r="M496" i="64" s="1"/>
  <c r="N336" i="64"/>
  <c r="P317" i="64"/>
  <c r="P319" i="64" s="1"/>
  <c r="P474" i="64"/>
  <c r="Q449" i="64"/>
  <c r="M376" i="64"/>
  <c r="R307" i="64"/>
  <c r="R314" i="64"/>
  <c r="S471" i="64"/>
  <c r="M380" i="64"/>
  <c r="M383" i="64" s="1"/>
  <c r="M386" i="64" s="1"/>
  <c r="M94" i="64" s="1"/>
  <c r="S343" i="64"/>
  <c r="O493" i="64"/>
  <c r="P349" i="64"/>
  <c r="L338" i="64"/>
  <c r="R342" i="64"/>
  <c r="N485" i="64"/>
  <c r="N423" i="64"/>
  <c r="N95" i="64" s="1"/>
  <c r="O421" i="64"/>
  <c r="M345" i="64"/>
  <c r="L113" i="64"/>
  <c r="L119" i="64" s="1"/>
  <c r="O381" i="64"/>
  <c r="P395" i="64"/>
  <c r="O79" i="64"/>
  <c r="L483" i="64"/>
  <c r="M414" i="64"/>
  <c r="M412" i="64" s="1"/>
  <c r="M413" i="64" s="1"/>
  <c r="M407" i="64" s="1"/>
  <c r="T30" i="64"/>
  <c r="T173" i="64" s="1"/>
  <c r="M348" i="64"/>
  <c r="Q183" i="64"/>
  <c r="Q478" i="64" s="1"/>
  <c r="Q85" i="64"/>
  <c r="M149" i="64"/>
  <c r="M477" i="64" s="1"/>
  <c r="R210" i="64"/>
  <c r="R106" i="64" s="1"/>
  <c r="R264" i="64"/>
  <c r="Q315" i="64"/>
  <c r="Q266" i="64"/>
  <c r="Q267" i="64" s="1"/>
  <c r="R231" i="64"/>
  <c r="S517" i="64"/>
  <c r="S403" i="64"/>
  <c r="S116" i="64" s="1"/>
  <c r="M520" i="64"/>
  <c r="N484" i="64"/>
  <c r="N73" i="64"/>
  <c r="N344" i="64"/>
  <c r="N514" i="64" s="1"/>
  <c r="L154" i="64"/>
  <c r="R171" i="64"/>
  <c r="S511" i="64"/>
  <c r="N519" i="64"/>
  <c r="N452" i="64"/>
  <c r="N118" i="64" s="1"/>
  <c r="N61" i="64"/>
  <c r="M357" i="64"/>
  <c r="M359" i="64" s="1"/>
  <c r="M363" i="64" s="1"/>
  <c r="M335" i="64"/>
  <c r="S139" i="64"/>
  <c r="S14" i="64"/>
  <c r="S304" i="64" s="1"/>
  <c r="S136" i="64"/>
  <c r="S15" i="64"/>
  <c r="S166" i="64"/>
  <c r="S167" i="64" s="1"/>
  <c r="S168" i="64" s="1"/>
  <c r="S233" i="64"/>
  <c r="S229" i="64" s="1"/>
  <c r="S331" i="64"/>
  <c r="S512" i="64" s="1"/>
  <c r="S289" i="64"/>
  <c r="S318" i="64" s="1"/>
  <c r="S293" i="64"/>
  <c r="S326" i="64"/>
  <c r="S327" i="64" s="1"/>
  <c r="S384" i="64"/>
  <c r="S385" i="64" s="1"/>
  <c r="S323" i="64"/>
  <c r="S301" i="64"/>
  <c r="S143" i="64"/>
  <c r="S297" i="64"/>
  <c r="S280" i="64"/>
  <c r="S127" i="64"/>
  <c r="S461" i="64"/>
  <c r="S462" i="64" s="1"/>
  <c r="S128" i="64"/>
  <c r="S445" i="64"/>
  <c r="S382" i="64"/>
  <c r="S181" i="64"/>
  <c r="S253" i="64"/>
  <c r="S256" i="64" s="1"/>
  <c r="S259" i="64" s="1"/>
  <c r="S516" i="64"/>
  <c r="S455" i="64"/>
  <c r="S518" i="64" s="1"/>
  <c r="S399" i="64"/>
  <c r="P448" i="64"/>
  <c r="O451" i="64"/>
  <c r="O341" i="64"/>
  <c r="M200" i="64"/>
  <c r="K56" i="64" l="1"/>
  <c r="T174" i="64"/>
  <c r="T27" i="64"/>
  <c r="T191" i="64" s="1"/>
  <c r="T172" i="64"/>
  <c r="S429" i="64"/>
  <c r="S210" i="64" s="1"/>
  <c r="S106" i="64" s="1"/>
  <c r="S209" i="64"/>
  <c r="O216" i="64"/>
  <c r="S332" i="64"/>
  <c r="S41" i="64" s="1"/>
  <c r="M377" i="64"/>
  <c r="L409" i="64"/>
  <c r="L410" i="64"/>
  <c r="L37" i="64" s="1"/>
  <c r="T178" i="64"/>
  <c r="T253" i="64" s="1"/>
  <c r="T256" i="64" s="1"/>
  <c r="T259" i="64" s="1"/>
  <c r="T398" i="64"/>
  <c r="N520" i="64"/>
  <c r="T402" i="64"/>
  <c r="T403" i="64" s="1"/>
  <c r="T116" i="64" s="1"/>
  <c r="R93" i="64"/>
  <c r="O199" i="64"/>
  <c r="T176" i="64"/>
  <c r="T13" i="64"/>
  <c r="T361" i="64" s="1"/>
  <c r="T459" i="64"/>
  <c r="T511" i="64" s="1"/>
  <c r="U29" i="64"/>
  <c r="U30" i="64" s="1"/>
  <c r="U27" i="64" s="1"/>
  <c r="M408" i="64"/>
  <c r="S110" i="64"/>
  <c r="S230" i="64"/>
  <c r="S231" i="64" s="1"/>
  <c r="M350" i="64"/>
  <c r="M354" i="64" s="1"/>
  <c r="M92" i="64" s="1"/>
  <c r="N69" i="64"/>
  <c r="N345" i="64"/>
  <c r="M113" i="64"/>
  <c r="M119" i="64" s="1"/>
  <c r="N495" i="64"/>
  <c r="N496" i="64" s="1"/>
  <c r="O336" i="64"/>
  <c r="O149" i="64" s="1"/>
  <c r="O477" i="64" s="1"/>
  <c r="S494" i="64"/>
  <c r="S502" i="64" s="1"/>
  <c r="S98" i="64"/>
  <c r="S475" i="64"/>
  <c r="S80" i="64"/>
  <c r="R315" i="64"/>
  <c r="R266" i="64"/>
  <c r="R267" i="64" s="1"/>
  <c r="M158" i="64"/>
  <c r="M82" i="64"/>
  <c r="M150" i="64"/>
  <c r="P381" i="64"/>
  <c r="Q395" i="64"/>
  <c r="O485" i="64"/>
  <c r="O423" i="64"/>
  <c r="O95" i="64" s="1"/>
  <c r="P421" i="64"/>
  <c r="T175" i="64"/>
  <c r="T450" i="64"/>
  <c r="R449" i="64"/>
  <c r="Q474" i="64"/>
  <c r="Q448" i="64"/>
  <c r="P451" i="64"/>
  <c r="P341" i="64"/>
  <c r="S306" i="64"/>
  <c r="S135" i="64"/>
  <c r="S137" i="64" s="1"/>
  <c r="S140" i="64" s="1"/>
  <c r="L488" i="64"/>
  <c r="L526" i="64" s="1"/>
  <c r="L501" i="64"/>
  <c r="S456" i="64"/>
  <c r="S117" i="64" s="1"/>
  <c r="S115" i="64"/>
  <c r="O344" i="64"/>
  <c r="O514" i="64" s="1"/>
  <c r="S278" i="64"/>
  <c r="S114" i="64"/>
  <c r="S515" i="64"/>
  <c r="S324" i="64"/>
  <c r="S144" i="64"/>
  <c r="S81" i="64" s="1"/>
  <c r="S152" i="64"/>
  <c r="R177" i="64"/>
  <c r="S171" i="64"/>
  <c r="O484" i="64"/>
  <c r="O73" i="64"/>
  <c r="P493" i="64"/>
  <c r="Q349" i="64"/>
  <c r="S130" i="64"/>
  <c r="T470" i="64"/>
  <c r="P79" i="64"/>
  <c r="O519" i="64"/>
  <c r="O452" i="64"/>
  <c r="O118" i="64" s="1"/>
  <c r="O61" i="64"/>
  <c r="S263" i="64"/>
  <c r="M375" i="64"/>
  <c r="M337" i="64"/>
  <c r="M338" i="64" s="1"/>
  <c r="M74" i="64"/>
  <c r="Q317" i="64"/>
  <c r="Q319" i="64" s="1"/>
  <c r="M203" i="64"/>
  <c r="M483" i="64" s="1"/>
  <c r="N414" i="64"/>
  <c r="N149" i="64"/>
  <c r="N477" i="64" s="1"/>
  <c r="I177" i="61"/>
  <c r="I184" i="61" s="1"/>
  <c r="H253" i="61"/>
  <c r="I253" i="61"/>
  <c r="J253" i="61"/>
  <c r="K253" i="61"/>
  <c r="H286" i="61"/>
  <c r="I286" i="61"/>
  <c r="J286" i="61"/>
  <c r="K286" i="61"/>
  <c r="G286" i="61"/>
  <c r="G253" i="61"/>
  <c r="M159" i="64" l="1"/>
  <c r="M162" i="64" s="1"/>
  <c r="M83" i="64" s="1"/>
  <c r="M84" i="64" s="1"/>
  <c r="M476" i="64"/>
  <c r="K177" i="61"/>
  <c r="K184" i="61" s="1"/>
  <c r="T190" i="64"/>
  <c r="U190" i="64" s="1"/>
  <c r="U191" i="64"/>
  <c r="U174" i="64"/>
  <c r="U173" i="64"/>
  <c r="U172" i="64"/>
  <c r="T517" i="64"/>
  <c r="L40" i="64"/>
  <c r="L104" i="64" s="1"/>
  <c r="P216" i="64"/>
  <c r="U175" i="64"/>
  <c r="U402" i="64"/>
  <c r="U517" i="64" s="1"/>
  <c r="L411" i="64"/>
  <c r="T181" i="64"/>
  <c r="T263" i="64" s="1"/>
  <c r="O520" i="64"/>
  <c r="T280" i="64"/>
  <c r="T358" i="64"/>
  <c r="T428" i="64"/>
  <c r="U178" i="64"/>
  <c r="U253" i="64" s="1"/>
  <c r="U256" i="64" s="1"/>
  <c r="U259" i="64" s="1"/>
  <c r="M417" i="64"/>
  <c r="M205" i="64" s="1"/>
  <c r="U459" i="64"/>
  <c r="U511" i="64" s="1"/>
  <c r="T455" i="64"/>
  <c r="T518" i="64" s="1"/>
  <c r="T331" i="64"/>
  <c r="T512" i="64" s="1"/>
  <c r="T426" i="64"/>
  <c r="L55" i="64"/>
  <c r="T15" i="64"/>
  <c r="T399" i="64"/>
  <c r="T456" i="64" s="1"/>
  <c r="T117" i="64" s="1"/>
  <c r="T297" i="64"/>
  <c r="T326" i="64"/>
  <c r="T327" i="64" s="1"/>
  <c r="U13" i="64"/>
  <c r="U361" i="64" s="1"/>
  <c r="T352" i="64"/>
  <c r="T129" i="64"/>
  <c r="T233" i="64"/>
  <c r="T229" i="64" s="1"/>
  <c r="T230" i="64" s="1"/>
  <c r="T231" i="64" s="1"/>
  <c r="T323" i="64"/>
  <c r="T324" i="64" s="1"/>
  <c r="T136" i="64"/>
  <c r="T475" i="64" s="1"/>
  <c r="T301" i="64"/>
  <c r="T289" i="64"/>
  <c r="T318" i="64" s="1"/>
  <c r="U398" i="64"/>
  <c r="T126" i="64"/>
  <c r="T445" i="64"/>
  <c r="T494" i="64" s="1"/>
  <c r="T502" i="64" s="1"/>
  <c r="U176" i="64"/>
  <c r="T125" i="64"/>
  <c r="T131" i="64"/>
  <c r="T143" i="64"/>
  <c r="T128" i="64"/>
  <c r="T516" i="64"/>
  <c r="P199" i="64"/>
  <c r="T461" i="64"/>
  <c r="T462" i="64" s="1"/>
  <c r="T293" i="64"/>
  <c r="T139" i="64"/>
  <c r="T166" i="64"/>
  <c r="T167" i="64" s="1"/>
  <c r="T168" i="64" s="1"/>
  <c r="T384" i="64"/>
  <c r="T385" i="64" s="1"/>
  <c r="T14" i="64"/>
  <c r="T304" i="64" s="1"/>
  <c r="T306" i="64" s="1"/>
  <c r="T427" i="64"/>
  <c r="T127" i="64"/>
  <c r="T382" i="64"/>
  <c r="M488" i="64"/>
  <c r="M501" i="64"/>
  <c r="L100" i="64"/>
  <c r="L111" i="64"/>
  <c r="L112" i="64" s="1"/>
  <c r="S281" i="64"/>
  <c r="S279" i="64"/>
  <c r="Q79" i="64"/>
  <c r="O345" i="64"/>
  <c r="N113" i="64"/>
  <c r="N119" i="64" s="1"/>
  <c r="N158" i="64"/>
  <c r="N82" i="64"/>
  <c r="N150" i="64"/>
  <c r="S93" i="64"/>
  <c r="L480" i="64"/>
  <c r="S177" i="64"/>
  <c r="P344" i="64"/>
  <c r="P514" i="64" s="1"/>
  <c r="R474" i="64"/>
  <c r="P485" i="64"/>
  <c r="P423" i="64"/>
  <c r="P95" i="64" s="1"/>
  <c r="Q421" i="64"/>
  <c r="P484" i="64"/>
  <c r="P73" i="64"/>
  <c r="O495" i="64"/>
  <c r="O496" i="64" s="1"/>
  <c r="P336" i="64"/>
  <c r="P149" i="64" s="1"/>
  <c r="P477" i="64" s="1"/>
  <c r="N376" i="64"/>
  <c r="N380" i="64"/>
  <c r="N383" i="64" s="1"/>
  <c r="N386" i="64" s="1"/>
  <c r="N94" i="64" s="1"/>
  <c r="N406" i="64"/>
  <c r="N348" i="64"/>
  <c r="N335" i="64"/>
  <c r="N420" i="64"/>
  <c r="N422" i="64" s="1"/>
  <c r="N357" i="64"/>
  <c r="N359" i="64" s="1"/>
  <c r="N363" i="64" s="1"/>
  <c r="S153" i="64"/>
  <c r="S132" i="64"/>
  <c r="R185" i="64"/>
  <c r="R188" i="64" s="1"/>
  <c r="R179" i="64"/>
  <c r="R182" i="64" s="1"/>
  <c r="S307" i="64"/>
  <c r="S314" i="64"/>
  <c r="P519" i="64"/>
  <c r="P452" i="64"/>
  <c r="P118" i="64" s="1"/>
  <c r="P61" i="64"/>
  <c r="U450" i="64"/>
  <c r="T343" i="64"/>
  <c r="M508" i="64"/>
  <c r="M513" i="64" s="1"/>
  <c r="M213" i="64"/>
  <c r="N196" i="64" s="1"/>
  <c r="Q381" i="64"/>
  <c r="R395" i="64"/>
  <c r="O158" i="64"/>
  <c r="O82" i="64"/>
  <c r="O150" i="64"/>
  <c r="N203" i="64"/>
  <c r="T193" i="64"/>
  <c r="T192" i="64" s="1"/>
  <c r="U470" i="64"/>
  <c r="T471" i="64"/>
  <c r="Q493" i="64"/>
  <c r="R349" i="64"/>
  <c r="S507" i="64"/>
  <c r="S328" i="64"/>
  <c r="S39" i="64" s="1"/>
  <c r="Q451" i="64"/>
  <c r="Q341" i="64"/>
  <c r="R448" i="64"/>
  <c r="M154" i="64"/>
  <c r="R317" i="64"/>
  <c r="R319" i="64" s="1"/>
  <c r="J177" i="61"/>
  <c r="J184" i="61" s="1"/>
  <c r="H177" i="61"/>
  <c r="H184" i="61" s="1"/>
  <c r="I185" i="61"/>
  <c r="I187" i="61" s="1"/>
  <c r="I179" i="61"/>
  <c r="I182" i="61" s="1"/>
  <c r="D87" i="61"/>
  <c r="B533" i="61"/>
  <c r="F534" i="61"/>
  <c r="F67" i="61" s="1"/>
  <c r="E534" i="61"/>
  <c r="E67" i="61" s="1"/>
  <c r="D534" i="61"/>
  <c r="D67" i="61" s="1"/>
  <c r="B532" i="61"/>
  <c r="F480" i="61"/>
  <c r="D480" i="61"/>
  <c r="B526" i="61"/>
  <c r="D527" i="61"/>
  <c r="B525" i="61"/>
  <c r="B522" i="61"/>
  <c r="B499" i="61"/>
  <c r="B495" i="61"/>
  <c r="B493" i="61"/>
  <c r="B492" i="61"/>
  <c r="B490" i="61"/>
  <c r="B485" i="61"/>
  <c r="B484" i="61"/>
  <c r="B483" i="61"/>
  <c r="E480" i="61"/>
  <c r="B479" i="61"/>
  <c r="B478" i="61"/>
  <c r="B477" i="61"/>
  <c r="B476" i="61"/>
  <c r="B475" i="61"/>
  <c r="B474" i="61"/>
  <c r="B471" i="61"/>
  <c r="B470" i="61"/>
  <c r="B466" i="61"/>
  <c r="J467" i="61"/>
  <c r="I467" i="61"/>
  <c r="E467" i="61"/>
  <c r="B465" i="61"/>
  <c r="B461" i="61"/>
  <c r="B460" i="61"/>
  <c r="B459" i="61"/>
  <c r="B456" i="61"/>
  <c r="B455" i="61"/>
  <c r="B452" i="61"/>
  <c r="B450" i="61"/>
  <c r="B449" i="61"/>
  <c r="B445" i="61"/>
  <c r="B442" i="61"/>
  <c r="B441" i="61"/>
  <c r="B440" i="61"/>
  <c r="B437" i="61"/>
  <c r="B436" i="61"/>
  <c r="B435" i="61"/>
  <c r="B434" i="61"/>
  <c r="B432" i="61"/>
  <c r="B428" i="61"/>
  <c r="B427" i="61"/>
  <c r="B426" i="61"/>
  <c r="B423" i="61"/>
  <c r="B421" i="61"/>
  <c r="B417" i="61"/>
  <c r="B416" i="61"/>
  <c r="B415" i="61"/>
  <c r="B414" i="61"/>
  <c r="B410" i="61"/>
  <c r="B409" i="61"/>
  <c r="B407" i="61"/>
  <c r="B403" i="61"/>
  <c r="B402" i="61"/>
  <c r="B399" i="61"/>
  <c r="B398" i="61"/>
  <c r="B394" i="61"/>
  <c r="U147" i="61"/>
  <c r="M147" i="61"/>
  <c r="K147" i="61"/>
  <c r="J147" i="61"/>
  <c r="H147" i="61"/>
  <c r="G147" i="61"/>
  <c r="F147" i="61"/>
  <c r="D147" i="61"/>
  <c r="B393" i="61"/>
  <c r="B392" i="61"/>
  <c r="S254" i="61"/>
  <c r="P254" i="61"/>
  <c r="O254" i="61"/>
  <c r="J254" i="61"/>
  <c r="J255" i="61" s="1"/>
  <c r="B391" i="61"/>
  <c r="B390" i="61"/>
  <c r="B389" i="61"/>
  <c r="B385" i="61"/>
  <c r="B384" i="61"/>
  <c r="B380" i="61"/>
  <c r="B377" i="61"/>
  <c r="B376" i="61"/>
  <c r="B375" i="61"/>
  <c r="B372" i="61"/>
  <c r="F486" i="61"/>
  <c r="E486" i="61"/>
  <c r="D486" i="61"/>
  <c r="B371" i="61"/>
  <c r="F322" i="61"/>
  <c r="F323" i="61" s="1"/>
  <c r="D322" i="61"/>
  <c r="D323" i="61" s="1"/>
  <c r="B369" i="61"/>
  <c r="F262" i="61"/>
  <c r="D262" i="61"/>
  <c r="B368" i="61"/>
  <c r="B367" i="61"/>
  <c r="F370" i="61"/>
  <c r="B366" i="61"/>
  <c r="B362" i="61"/>
  <c r="B361" i="61"/>
  <c r="B360" i="61"/>
  <c r="B358" i="61"/>
  <c r="B353" i="61"/>
  <c r="B352" i="61"/>
  <c r="B351" i="61"/>
  <c r="B349" i="61"/>
  <c r="B345" i="61"/>
  <c r="B343" i="61"/>
  <c r="B342" i="61"/>
  <c r="B338" i="61"/>
  <c r="B336" i="61"/>
  <c r="J41" i="61"/>
  <c r="I41" i="61"/>
  <c r="H41" i="61"/>
  <c r="F41" i="61"/>
  <c r="E41" i="61"/>
  <c r="D41" i="61"/>
  <c r="B332" i="61"/>
  <c r="B331" i="61"/>
  <c r="B327" i="61"/>
  <c r="B326" i="61"/>
  <c r="B325" i="61"/>
  <c r="B323" i="61"/>
  <c r="E322" i="61"/>
  <c r="E323" i="61" s="1"/>
  <c r="B319" i="61"/>
  <c r="B318" i="61"/>
  <c r="B317" i="61"/>
  <c r="B311" i="61"/>
  <c r="B310" i="61"/>
  <c r="B307" i="61"/>
  <c r="B305" i="61"/>
  <c r="L305" i="61"/>
  <c r="M305" i="61" s="1"/>
  <c r="N305" i="61" s="1"/>
  <c r="O305" i="61" s="1"/>
  <c r="P305" i="61" s="1"/>
  <c r="Q305" i="61" s="1"/>
  <c r="R305" i="61" s="1"/>
  <c r="S305" i="61" s="1"/>
  <c r="T305" i="61" s="1"/>
  <c r="U305" i="61" s="1"/>
  <c r="E306" i="61"/>
  <c r="B304" i="61"/>
  <c r="B301" i="61"/>
  <c r="L300" i="61"/>
  <c r="M300" i="61" s="1"/>
  <c r="N300" i="61" s="1"/>
  <c r="O300" i="61" s="1"/>
  <c r="P300" i="61" s="1"/>
  <c r="Q300" i="61" s="1"/>
  <c r="R300" i="61" s="1"/>
  <c r="S300" i="61" s="1"/>
  <c r="T300" i="61" s="1"/>
  <c r="U300" i="61" s="1"/>
  <c r="B300" i="61"/>
  <c r="B297" i="61"/>
  <c r="L296" i="61"/>
  <c r="M296" i="61" s="1"/>
  <c r="N296" i="61" s="1"/>
  <c r="O296" i="61" s="1"/>
  <c r="P296" i="61" s="1"/>
  <c r="Q296" i="61" s="1"/>
  <c r="R296" i="61" s="1"/>
  <c r="S296" i="61" s="1"/>
  <c r="T296" i="61" s="1"/>
  <c r="U296" i="61" s="1"/>
  <c r="B296" i="61"/>
  <c r="B293" i="61"/>
  <c r="L292" i="61"/>
  <c r="M292" i="61" s="1"/>
  <c r="N292" i="61" s="1"/>
  <c r="O292" i="61" s="1"/>
  <c r="P292" i="61" s="1"/>
  <c r="Q292" i="61" s="1"/>
  <c r="R292" i="61" s="1"/>
  <c r="S292" i="61" s="1"/>
  <c r="T292" i="61" s="1"/>
  <c r="U292" i="61" s="1"/>
  <c r="B292" i="61"/>
  <c r="B289" i="61"/>
  <c r="B287" i="61"/>
  <c r="B281" i="61"/>
  <c r="B280" i="61"/>
  <c r="B279" i="61"/>
  <c r="B278" i="61"/>
  <c r="B275" i="61"/>
  <c r="L274" i="61"/>
  <c r="M274" i="61" s="1"/>
  <c r="N274" i="61" s="1"/>
  <c r="O274" i="61" s="1"/>
  <c r="P274" i="61" s="1"/>
  <c r="Q274" i="61" s="1"/>
  <c r="R274" i="61" s="1"/>
  <c r="S274" i="61" s="1"/>
  <c r="T274" i="61" s="1"/>
  <c r="U274" i="61" s="1"/>
  <c r="B274" i="61"/>
  <c r="B271" i="61"/>
  <c r="L270" i="61"/>
  <c r="M270" i="61" s="1"/>
  <c r="N270" i="61" s="1"/>
  <c r="O270" i="61" s="1"/>
  <c r="P270" i="61" s="1"/>
  <c r="Q270" i="61" s="1"/>
  <c r="R270" i="61" s="1"/>
  <c r="S270" i="61" s="1"/>
  <c r="T270" i="61" s="1"/>
  <c r="U270" i="61" s="1"/>
  <c r="B270" i="61"/>
  <c r="B267" i="61"/>
  <c r="B265" i="61"/>
  <c r="E262" i="61"/>
  <c r="B258" i="61"/>
  <c r="B257" i="61"/>
  <c r="B255" i="61"/>
  <c r="T254" i="61"/>
  <c r="T509" i="61" s="1"/>
  <c r="L254" i="61"/>
  <c r="L509" i="61" s="1"/>
  <c r="B249" i="61"/>
  <c r="B248" i="61"/>
  <c r="B247" i="61"/>
  <c r="B244" i="61"/>
  <c r="B243" i="61"/>
  <c r="B240" i="61"/>
  <c r="B237" i="61"/>
  <c r="B233" i="61"/>
  <c r="B232" i="61"/>
  <c r="B230" i="61"/>
  <c r="B229" i="61"/>
  <c r="K285" i="61"/>
  <c r="K287" i="61" s="1"/>
  <c r="J285" i="61"/>
  <c r="J287" i="61" s="1"/>
  <c r="H285" i="61"/>
  <c r="H287" i="61" s="1"/>
  <c r="G285" i="61"/>
  <c r="G287" i="61" s="1"/>
  <c r="F285" i="61"/>
  <c r="D285" i="61"/>
  <c r="B228" i="61"/>
  <c r="B223" i="61"/>
  <c r="B222" i="61"/>
  <c r="B221" i="61"/>
  <c r="B220" i="61"/>
  <c r="B216" i="61"/>
  <c r="B215" i="61"/>
  <c r="B214" i="61"/>
  <c r="B213" i="61"/>
  <c r="J106" i="61"/>
  <c r="I106" i="61"/>
  <c r="H106" i="61"/>
  <c r="G106" i="61"/>
  <c r="F106" i="61"/>
  <c r="E106" i="61"/>
  <c r="D106" i="61"/>
  <c r="B210" i="61"/>
  <c r="B205" i="61"/>
  <c r="B204" i="61"/>
  <c r="B203" i="61"/>
  <c r="B199" i="61"/>
  <c r="B198" i="61"/>
  <c r="B197" i="61"/>
  <c r="B196" i="61"/>
  <c r="B193" i="61"/>
  <c r="B192" i="61"/>
  <c r="B191" i="61"/>
  <c r="B190" i="61"/>
  <c r="B187" i="61"/>
  <c r="B186" i="61"/>
  <c r="B184" i="61"/>
  <c r="B183" i="61"/>
  <c r="J263" i="61"/>
  <c r="I263" i="61"/>
  <c r="H263" i="61"/>
  <c r="G263" i="61"/>
  <c r="F263" i="61"/>
  <c r="E263" i="61"/>
  <c r="D263" i="61"/>
  <c r="B181" i="61"/>
  <c r="F286" i="61"/>
  <c r="E286" i="61"/>
  <c r="D286" i="61"/>
  <c r="B180" i="61"/>
  <c r="F253" i="61"/>
  <c r="E253" i="61"/>
  <c r="D253" i="61"/>
  <c r="B178" i="61"/>
  <c r="B176" i="61"/>
  <c r="B175" i="61"/>
  <c r="B174" i="61"/>
  <c r="B173" i="61"/>
  <c r="B172" i="61"/>
  <c r="F177" i="61"/>
  <c r="F184" i="61" s="1"/>
  <c r="D177" i="61"/>
  <c r="D184" i="61" s="1"/>
  <c r="B171" i="61"/>
  <c r="B168" i="61"/>
  <c r="B166" i="61"/>
  <c r="B161" i="61"/>
  <c r="B160" i="61"/>
  <c r="B158" i="61"/>
  <c r="B153" i="61"/>
  <c r="B152" i="61"/>
  <c r="B151" i="61"/>
  <c r="B149" i="61"/>
  <c r="T147" i="61"/>
  <c r="S147" i="61"/>
  <c r="R147" i="61"/>
  <c r="Q147" i="61"/>
  <c r="P147" i="61"/>
  <c r="O147" i="61"/>
  <c r="N147" i="61"/>
  <c r="L147" i="61"/>
  <c r="I147" i="61"/>
  <c r="E147" i="61"/>
  <c r="B144" i="61"/>
  <c r="B143" i="61"/>
  <c r="B139" i="61"/>
  <c r="B138" i="61"/>
  <c r="B136" i="61"/>
  <c r="H137" i="61"/>
  <c r="H139" i="61" s="1"/>
  <c r="B135" i="61"/>
  <c r="B131" i="61"/>
  <c r="I130" i="61"/>
  <c r="I131" i="61" s="1"/>
  <c r="B129" i="61"/>
  <c r="B128" i="61"/>
  <c r="J130" i="61"/>
  <c r="J131" i="61" s="1"/>
  <c r="B127" i="61"/>
  <c r="B126" i="61"/>
  <c r="K130" i="61"/>
  <c r="K131" i="61" s="1"/>
  <c r="H130" i="61"/>
  <c r="H131" i="61" s="1"/>
  <c r="G130" i="61"/>
  <c r="G131" i="61" s="1"/>
  <c r="B125" i="61"/>
  <c r="B118" i="61"/>
  <c r="B117" i="61"/>
  <c r="B116" i="61"/>
  <c r="B115" i="61"/>
  <c r="B114" i="61"/>
  <c r="B113" i="61"/>
  <c r="B111" i="61"/>
  <c r="B110" i="61"/>
  <c r="B109" i="61"/>
  <c r="B108" i="61"/>
  <c r="B107" i="61"/>
  <c r="B100" i="61"/>
  <c r="B99" i="61"/>
  <c r="K494" i="61"/>
  <c r="J494" i="61"/>
  <c r="I494" i="61"/>
  <c r="H494" i="61"/>
  <c r="G494" i="61"/>
  <c r="F494" i="61"/>
  <c r="E494" i="61"/>
  <c r="B98" i="61"/>
  <c r="B95" i="61"/>
  <c r="B94" i="61"/>
  <c r="B93" i="61"/>
  <c r="B92" i="61"/>
  <c r="B91" i="61"/>
  <c r="F87" i="61"/>
  <c r="E87" i="61"/>
  <c r="B86" i="61"/>
  <c r="B85" i="61"/>
  <c r="B83" i="61"/>
  <c r="B82" i="61"/>
  <c r="B81" i="61"/>
  <c r="B80" i="61"/>
  <c r="B79" i="61"/>
  <c r="B76" i="61"/>
  <c r="B74" i="61"/>
  <c r="B73" i="61"/>
  <c r="B71" i="61"/>
  <c r="B69" i="61"/>
  <c r="B64" i="61"/>
  <c r="B63" i="61"/>
  <c r="B60" i="61"/>
  <c r="B55" i="61"/>
  <c r="K41" i="61"/>
  <c r="G41" i="61"/>
  <c r="B40" i="61"/>
  <c r="B31" i="61"/>
  <c r="A30" i="61"/>
  <c r="B29" i="61"/>
  <c r="B27" i="61"/>
  <c r="B26" i="61"/>
  <c r="B25" i="61"/>
  <c r="B24" i="61"/>
  <c r="A23" i="61"/>
  <c r="B22" i="61"/>
  <c r="A20" i="61"/>
  <c r="B19" i="61"/>
  <c r="A18" i="61"/>
  <c r="K21" i="61"/>
  <c r="G21" i="61"/>
  <c r="D21" i="61"/>
  <c r="B17" i="61"/>
  <c r="A14" i="61"/>
  <c r="J238" i="61"/>
  <c r="G15" i="61"/>
  <c r="G14" i="61"/>
  <c r="E15" i="61"/>
  <c r="D15" i="61"/>
  <c r="B13" i="61"/>
  <c r="J12" i="61"/>
  <c r="F12" i="61"/>
  <c r="K185" i="61" l="1"/>
  <c r="K187" i="61" s="1"/>
  <c r="L187" i="61" s="1"/>
  <c r="M187" i="61" s="1"/>
  <c r="N187" i="61" s="1"/>
  <c r="O187" i="61" s="1"/>
  <c r="P187" i="61" s="1"/>
  <c r="Q187" i="61" s="1"/>
  <c r="R187" i="61" s="1"/>
  <c r="S187" i="61" s="1"/>
  <c r="T187" i="61" s="1"/>
  <c r="U187" i="61" s="1"/>
  <c r="D287" i="61"/>
  <c r="D288" i="61" s="1"/>
  <c r="D265" i="61"/>
  <c r="D266" i="61" s="1"/>
  <c r="T278" i="64"/>
  <c r="T279" i="64" s="1"/>
  <c r="F265" i="61"/>
  <c r="F266" i="61" s="1"/>
  <c r="E265" i="61"/>
  <c r="E266" i="61" s="1"/>
  <c r="D255" i="61"/>
  <c r="F287" i="61"/>
  <c r="F288" i="61" s="1"/>
  <c r="K179" i="61"/>
  <c r="K182" i="61" s="1"/>
  <c r="I188" i="61"/>
  <c r="J256" i="61"/>
  <c r="J258" i="61" s="1"/>
  <c r="O159" i="64"/>
  <c r="O162" i="64" s="1"/>
  <c r="O83" i="64" s="1"/>
  <c r="O84" i="64" s="1"/>
  <c r="O476" i="64"/>
  <c r="N159" i="64"/>
  <c r="N162" i="64" s="1"/>
  <c r="N83" i="64" s="1"/>
  <c r="N84" i="64" s="1"/>
  <c r="N476" i="64"/>
  <c r="J179" i="61"/>
  <c r="J182" i="61" s="1"/>
  <c r="K188" i="61"/>
  <c r="U293" i="64"/>
  <c r="L91" i="64"/>
  <c r="L97" i="64" s="1"/>
  <c r="L533" i="64" s="1"/>
  <c r="P520" i="64"/>
  <c r="M415" i="64"/>
  <c r="M416" i="64" s="1"/>
  <c r="M410" i="64" s="1"/>
  <c r="Q199" i="64"/>
  <c r="U455" i="64"/>
  <c r="U518" i="64" s="1"/>
  <c r="U399" i="64"/>
  <c r="U115" i="64" s="1"/>
  <c r="U15" i="64"/>
  <c r="U403" i="64"/>
  <c r="U116" i="64" s="1"/>
  <c r="T115" i="64"/>
  <c r="U382" i="64"/>
  <c r="T515" i="64"/>
  <c r="T135" i="64"/>
  <c r="T137" i="64" s="1"/>
  <c r="T140" i="64" s="1"/>
  <c r="U139" i="64"/>
  <c r="U126" i="64"/>
  <c r="T80" i="64"/>
  <c r="U352" i="64"/>
  <c r="T332" i="64"/>
  <c r="T41" i="64" s="1"/>
  <c r="U426" i="64"/>
  <c r="U280" i="64"/>
  <c r="T209" i="64"/>
  <c r="T429" i="64"/>
  <c r="T210" i="64" s="1"/>
  <c r="T106" i="64" s="1"/>
  <c r="M204" i="64"/>
  <c r="M214" i="64" s="1"/>
  <c r="N197" i="64" s="1"/>
  <c r="S282" i="64"/>
  <c r="T130" i="64"/>
  <c r="T132" i="64" s="1"/>
  <c r="Q216" i="64"/>
  <c r="T98" i="64"/>
  <c r="U471" i="64"/>
  <c r="U127" i="64"/>
  <c r="U384" i="64"/>
  <c r="U385" i="64" s="1"/>
  <c r="U233" i="64"/>
  <c r="U229" i="64" s="1"/>
  <c r="U230" i="64" s="1"/>
  <c r="U231" i="64" s="1"/>
  <c r="U461" i="64"/>
  <c r="U462" i="64" s="1"/>
  <c r="U110" i="64" s="1"/>
  <c r="U358" i="64"/>
  <c r="U331" i="64"/>
  <c r="U289" i="64"/>
  <c r="U318" i="64" s="1"/>
  <c r="U326" i="64"/>
  <c r="U327" i="64" s="1"/>
  <c r="U445" i="64"/>
  <c r="U494" i="64" s="1"/>
  <c r="U502" i="64" s="1"/>
  <c r="U131" i="64"/>
  <c r="U128" i="64"/>
  <c r="T144" i="64"/>
  <c r="T81" i="64" s="1"/>
  <c r="U181" i="64"/>
  <c r="U263" i="64" s="1"/>
  <c r="U125" i="64"/>
  <c r="U129" i="64"/>
  <c r="U516" i="64"/>
  <c r="U323" i="64"/>
  <c r="U114" i="64" s="1"/>
  <c r="U297" i="64"/>
  <c r="T114" i="64"/>
  <c r="U428" i="64"/>
  <c r="U166" i="64"/>
  <c r="U167" i="64" s="1"/>
  <c r="U168" i="64" s="1"/>
  <c r="U143" i="64"/>
  <c r="U136" i="64"/>
  <c r="U301" i="64"/>
  <c r="U14" i="64"/>
  <c r="U304" i="64" s="1"/>
  <c r="U135" i="64" s="1"/>
  <c r="T152" i="64"/>
  <c r="T153" i="64" s="1"/>
  <c r="U427" i="64"/>
  <c r="S264" i="64"/>
  <c r="S342" i="64"/>
  <c r="N412" i="64"/>
  <c r="N413" i="64" s="1"/>
  <c r="N407" i="64" s="1"/>
  <c r="N377" i="64"/>
  <c r="S448" i="64"/>
  <c r="R451" i="64"/>
  <c r="R341" i="64"/>
  <c r="R493" i="64"/>
  <c r="S349" i="64"/>
  <c r="N508" i="64"/>
  <c r="N513" i="64" s="1"/>
  <c r="N213" i="64"/>
  <c r="T110" i="64"/>
  <c r="P158" i="64"/>
  <c r="P150" i="64"/>
  <c r="P82" i="64"/>
  <c r="L220" i="64"/>
  <c r="L500" i="64"/>
  <c r="L482" i="64"/>
  <c r="P345" i="64"/>
  <c r="O113" i="64"/>
  <c r="O119" i="64" s="1"/>
  <c r="N154" i="64"/>
  <c r="T307" i="64"/>
  <c r="T314" i="64"/>
  <c r="Q344" i="64"/>
  <c r="Q514" i="64" s="1"/>
  <c r="U193" i="64"/>
  <c r="U192" i="64" s="1"/>
  <c r="O154" i="64"/>
  <c r="R381" i="64"/>
  <c r="S395" i="64"/>
  <c r="M479" i="64"/>
  <c r="R183" i="64"/>
  <c r="R478" i="64" s="1"/>
  <c r="R85" i="64"/>
  <c r="M215" i="64"/>
  <c r="N198" i="64" s="1"/>
  <c r="N375" i="64"/>
  <c r="N337" i="64"/>
  <c r="N74" i="64"/>
  <c r="P495" i="64"/>
  <c r="P496" i="64" s="1"/>
  <c r="Q336" i="64"/>
  <c r="Q485" i="64"/>
  <c r="Q423" i="64"/>
  <c r="Q95" i="64" s="1"/>
  <c r="R421" i="64"/>
  <c r="R79" i="64"/>
  <c r="T507" i="64"/>
  <c r="T328" i="64"/>
  <c r="T39" i="64" s="1"/>
  <c r="S185" i="64"/>
  <c r="S188" i="64" s="1"/>
  <c r="S179" i="64"/>
  <c r="S182" i="64" s="1"/>
  <c r="Q519" i="64"/>
  <c r="Q452" i="64"/>
  <c r="Q118" i="64" s="1"/>
  <c r="Q61" i="64"/>
  <c r="Q484" i="64"/>
  <c r="Q73" i="64"/>
  <c r="U343" i="64"/>
  <c r="N350" i="64"/>
  <c r="N354" i="64" s="1"/>
  <c r="N92" i="64" s="1"/>
  <c r="O69" i="64"/>
  <c r="T171" i="64"/>
  <c r="P509" i="61"/>
  <c r="P107" i="61"/>
  <c r="E96" i="61"/>
  <c r="E97" i="61" s="1"/>
  <c r="O509" i="61"/>
  <c r="O107" i="61"/>
  <c r="T107" i="61"/>
  <c r="L107" i="61"/>
  <c r="R254" i="61"/>
  <c r="R509" i="61" s="1"/>
  <c r="H185" i="61"/>
  <c r="H187" i="61" s="1"/>
  <c r="H179" i="61"/>
  <c r="H182" i="61" s="1"/>
  <c r="J185" i="61"/>
  <c r="J187" i="61" s="1"/>
  <c r="H18" i="61"/>
  <c r="F30" i="61"/>
  <c r="J30" i="61"/>
  <c r="I30" i="61"/>
  <c r="H12" i="61"/>
  <c r="K14" i="61"/>
  <c r="E18" i="61"/>
  <c r="I18" i="61"/>
  <c r="F20" i="61"/>
  <c r="H23" i="61"/>
  <c r="M254" i="61"/>
  <c r="Q254" i="61"/>
  <c r="U254" i="61"/>
  <c r="H14" i="61"/>
  <c r="G20" i="61"/>
  <c r="K20" i="61"/>
  <c r="F206" i="61"/>
  <c r="F105" i="61" s="1"/>
  <c r="F112" i="61" s="1"/>
  <c r="I84" i="61"/>
  <c r="F119" i="61"/>
  <c r="J119" i="61"/>
  <c r="F200" i="61"/>
  <c r="J236" i="61"/>
  <c r="D282" i="61"/>
  <c r="E206" i="61"/>
  <c r="E105" i="61" s="1"/>
  <c r="E112" i="61" s="1"/>
  <c r="I206" i="61"/>
  <c r="I105" i="61" s="1"/>
  <c r="I112" i="61" s="1"/>
  <c r="D206" i="61"/>
  <c r="D105" i="61" s="1"/>
  <c r="D112" i="61" s="1"/>
  <c r="G236" i="61"/>
  <c r="D254" i="61"/>
  <c r="H254" i="61"/>
  <c r="H255" i="61" s="1"/>
  <c r="D528" i="61"/>
  <c r="D71" i="61" s="1"/>
  <c r="D68" i="61"/>
  <c r="D70" i="61" s="1"/>
  <c r="H84" i="61"/>
  <c r="D96" i="61"/>
  <c r="K84" i="61"/>
  <c r="D137" i="61"/>
  <c r="D139" i="61" s="1"/>
  <c r="K231" i="61"/>
  <c r="K282" i="61"/>
  <c r="E487" i="61"/>
  <c r="E488" i="61" s="1"/>
  <c r="H217" i="61"/>
  <c r="E231" i="61"/>
  <c r="I254" i="61"/>
  <c r="I255" i="61" s="1"/>
  <c r="F467" i="61"/>
  <c r="G254" i="61"/>
  <c r="G255" i="61" s="1"/>
  <c r="K206" i="61"/>
  <c r="K105" i="61" s="1"/>
  <c r="J206" i="61"/>
  <c r="J105" i="61" s="1"/>
  <c r="J112" i="61" s="1"/>
  <c r="J200" i="61"/>
  <c r="H282" i="61"/>
  <c r="K239" i="61"/>
  <c r="L25" i="61"/>
  <c r="M25" i="61" s="1"/>
  <c r="N25" i="61" s="1"/>
  <c r="O25" i="61" s="1"/>
  <c r="P25" i="61" s="1"/>
  <c r="Q25" i="61" s="1"/>
  <c r="R25" i="61" s="1"/>
  <c r="S25" i="61" s="1"/>
  <c r="T25" i="61" s="1"/>
  <c r="U25" i="61" s="1"/>
  <c r="G30" i="61"/>
  <c r="K30" i="61"/>
  <c r="L29" i="61" s="1"/>
  <c r="H30" i="61"/>
  <c r="E30" i="61"/>
  <c r="K23" i="61"/>
  <c r="G12" i="61"/>
  <c r="F14" i="61"/>
  <c r="G18" i="61"/>
  <c r="K12" i="61"/>
  <c r="H20" i="61"/>
  <c r="E23" i="61"/>
  <c r="I23" i="61"/>
  <c r="F130" i="61"/>
  <c r="F131" i="61" s="1"/>
  <c r="H288" i="61"/>
  <c r="G84" i="61"/>
  <c r="D217" i="61"/>
  <c r="E84" i="61"/>
  <c r="E101" i="61"/>
  <c r="E177" i="61"/>
  <c r="E184" i="61" s="1"/>
  <c r="G200" i="61"/>
  <c r="K200" i="61"/>
  <c r="G206" i="61"/>
  <c r="G105" i="61" s="1"/>
  <c r="G112" i="61" s="1"/>
  <c r="E217" i="61"/>
  <c r="F231" i="61"/>
  <c r="D239" i="61"/>
  <c r="E250" i="61"/>
  <c r="I250" i="61"/>
  <c r="I306" i="61"/>
  <c r="E324" i="61"/>
  <c r="E327" i="61" s="1"/>
  <c r="E254" i="61"/>
  <c r="E255" i="61" s="1"/>
  <c r="G429" i="61"/>
  <c r="K462" i="61"/>
  <c r="I462" i="61"/>
  <c r="H467" i="61"/>
  <c r="J288" i="61"/>
  <c r="F96" i="61"/>
  <c r="F97" i="61" s="1"/>
  <c r="I231" i="61"/>
  <c r="I285" i="61"/>
  <c r="I287" i="61" s="1"/>
  <c r="K236" i="61"/>
  <c r="E285" i="61"/>
  <c r="E287" i="61" s="1"/>
  <c r="D467" i="61"/>
  <c r="F238" i="61"/>
  <c r="D84" i="61"/>
  <c r="G496" i="61"/>
  <c r="K496" i="61"/>
  <c r="F101" i="61"/>
  <c r="D130" i="61"/>
  <c r="D131" i="61" s="1"/>
  <c r="E130" i="61"/>
  <c r="E131" i="61" s="1"/>
  <c r="G137" i="61"/>
  <c r="G139" i="61" s="1"/>
  <c r="E200" i="61"/>
  <c r="I200" i="61"/>
  <c r="H206" i="61"/>
  <c r="H105" i="61" s="1"/>
  <c r="H112" i="61" s="1"/>
  <c r="I217" i="61"/>
  <c r="J231" i="61"/>
  <c r="F282" i="61"/>
  <c r="H306" i="61"/>
  <c r="J306" i="61"/>
  <c r="K254" i="61"/>
  <c r="K255" i="61" s="1"/>
  <c r="H429" i="61"/>
  <c r="D487" i="61"/>
  <c r="D488" i="61" s="1"/>
  <c r="G462" i="61"/>
  <c r="K288" i="61"/>
  <c r="L31" i="61"/>
  <c r="M31" i="61" s="1"/>
  <c r="N31" i="61" s="1"/>
  <c r="O31" i="61" s="1"/>
  <c r="P31" i="61" s="1"/>
  <c r="Q31" i="61" s="1"/>
  <c r="R31" i="61" s="1"/>
  <c r="S31" i="61" s="1"/>
  <c r="T31" i="61" s="1"/>
  <c r="U31" i="61" s="1"/>
  <c r="N2" i="61"/>
  <c r="L24" i="61"/>
  <c r="M24" i="61" s="1"/>
  <c r="N24" i="61" s="1"/>
  <c r="O24" i="61" s="1"/>
  <c r="P24" i="61" s="1"/>
  <c r="Q24" i="61" s="1"/>
  <c r="R24" i="61" s="1"/>
  <c r="S24" i="61" s="1"/>
  <c r="T24" i="61" s="1"/>
  <c r="U24" i="61" s="1"/>
  <c r="K429" i="61"/>
  <c r="O2" i="61"/>
  <c r="D429" i="61"/>
  <c r="G132" i="61"/>
  <c r="H132" i="61"/>
  <c r="F179" i="61"/>
  <c r="F182" i="61" s="1"/>
  <c r="F185" i="61"/>
  <c r="F187" i="61" s="1"/>
  <c r="J18" i="61"/>
  <c r="J21" i="61"/>
  <c r="E132" i="61"/>
  <c r="J132" i="61"/>
  <c r="R2" i="61"/>
  <c r="E14" i="61"/>
  <c r="E238" i="61"/>
  <c r="I238" i="61"/>
  <c r="I14" i="61"/>
  <c r="J14" i="61"/>
  <c r="H15" i="61"/>
  <c r="E21" i="61"/>
  <c r="F23" i="61"/>
  <c r="J23" i="61"/>
  <c r="G23" i="61"/>
  <c r="G119" i="61"/>
  <c r="K119" i="61"/>
  <c r="E137" i="61"/>
  <c r="E139" i="61" s="1"/>
  <c r="D185" i="61"/>
  <c r="D187" i="61" s="1"/>
  <c r="D179" i="61"/>
  <c r="D182" i="61" s="1"/>
  <c r="G250" i="61"/>
  <c r="K250" i="61"/>
  <c r="L247" i="61"/>
  <c r="I21" i="61"/>
  <c r="I132" i="61"/>
  <c r="E527" i="61"/>
  <c r="E528" i="61" s="1"/>
  <c r="E71" i="61" s="1"/>
  <c r="F18" i="61"/>
  <c r="F21" i="61"/>
  <c r="K132" i="61"/>
  <c r="A534" i="61"/>
  <c r="A529" i="61"/>
  <c r="A528" i="61"/>
  <c r="A536" i="61"/>
  <c r="A530" i="61"/>
  <c r="A535" i="61"/>
  <c r="C438" i="61"/>
  <c r="D438" i="61" s="1"/>
  <c r="E438" i="61" s="1"/>
  <c r="F438" i="61" s="1"/>
  <c r="G438" i="61" s="1"/>
  <c r="H438" i="61" s="1"/>
  <c r="I438" i="61" s="1"/>
  <c r="J438" i="61" s="1"/>
  <c r="K438" i="61" s="1"/>
  <c r="K439" i="61" s="1"/>
  <c r="L440" i="61"/>
  <c r="A527" i="61"/>
  <c r="L466" i="61"/>
  <c r="M466" i="61" s="1"/>
  <c r="N466" i="61" s="1"/>
  <c r="O466" i="61" s="1"/>
  <c r="P466" i="61" s="1"/>
  <c r="Q466" i="61" s="1"/>
  <c r="R466" i="61" s="1"/>
  <c r="S466" i="61" s="1"/>
  <c r="T466" i="61" s="1"/>
  <c r="U466" i="61" s="1"/>
  <c r="C406" i="61"/>
  <c r="L372" i="61"/>
  <c r="M372" i="61" s="1"/>
  <c r="N372" i="61" s="1"/>
  <c r="O372" i="61" s="1"/>
  <c r="P372" i="61" s="1"/>
  <c r="Q372" i="61" s="1"/>
  <c r="R372" i="61" s="1"/>
  <c r="S372" i="61" s="1"/>
  <c r="T372" i="61" s="1"/>
  <c r="U372" i="61" s="1"/>
  <c r="L311" i="61"/>
  <c r="M311" i="61" s="1"/>
  <c r="N311" i="61" s="1"/>
  <c r="O311" i="61" s="1"/>
  <c r="P311" i="61" s="1"/>
  <c r="Q311" i="61" s="1"/>
  <c r="R311" i="61" s="1"/>
  <c r="S311" i="61" s="1"/>
  <c r="T311" i="61" s="1"/>
  <c r="U311" i="61" s="1"/>
  <c r="L271" i="61"/>
  <c r="M271" i="61" s="1"/>
  <c r="N271" i="61" s="1"/>
  <c r="O271" i="61" s="1"/>
  <c r="P271" i="61" s="1"/>
  <c r="Q271" i="61" s="1"/>
  <c r="R271" i="61" s="1"/>
  <c r="S271" i="61" s="1"/>
  <c r="T271" i="61" s="1"/>
  <c r="U271" i="61" s="1"/>
  <c r="L228" i="61"/>
  <c r="M228" i="61" s="1"/>
  <c r="L310" i="61"/>
  <c r="M310" i="61" s="1"/>
  <c r="N310" i="61" s="1"/>
  <c r="O310" i="61" s="1"/>
  <c r="P310" i="61" s="1"/>
  <c r="Q310" i="61" s="1"/>
  <c r="R310" i="61" s="1"/>
  <c r="S310" i="61" s="1"/>
  <c r="T310" i="61" s="1"/>
  <c r="U310" i="61" s="1"/>
  <c r="L275" i="61"/>
  <c r="M275" i="61" s="1"/>
  <c r="N275" i="61" s="1"/>
  <c r="O275" i="61" s="1"/>
  <c r="P275" i="61" s="1"/>
  <c r="Q275" i="61" s="1"/>
  <c r="R275" i="61" s="1"/>
  <c r="S275" i="61" s="1"/>
  <c r="T275" i="61" s="1"/>
  <c r="U275" i="61" s="1"/>
  <c r="L240" i="61"/>
  <c r="L237" i="61"/>
  <c r="L236" i="61" s="1"/>
  <c r="L161" i="61"/>
  <c r="M161" i="61" s="1"/>
  <c r="N161" i="61" s="1"/>
  <c r="O161" i="61" s="1"/>
  <c r="P161" i="61" s="1"/>
  <c r="Q161" i="61" s="1"/>
  <c r="R161" i="61" s="1"/>
  <c r="S161" i="61" s="1"/>
  <c r="T161" i="61" s="1"/>
  <c r="U161" i="61" s="1"/>
  <c r="E148" i="61"/>
  <c r="E149" i="61" s="1"/>
  <c r="T108" i="61"/>
  <c r="P108" i="61"/>
  <c r="L108" i="61"/>
  <c r="F157" i="61"/>
  <c r="F158" i="61" s="1"/>
  <c r="D148" i="61"/>
  <c r="D149" i="61" s="1"/>
  <c r="S108" i="61"/>
  <c r="O108" i="61"/>
  <c r="E157" i="61"/>
  <c r="E158" i="61" s="1"/>
  <c r="N108" i="61"/>
  <c r="U2" i="61"/>
  <c r="Q2" i="61"/>
  <c r="M2" i="61"/>
  <c r="L26" i="61"/>
  <c r="M26" i="61" s="1"/>
  <c r="D157" i="61"/>
  <c r="D158" i="61" s="1"/>
  <c r="U108" i="61"/>
  <c r="M108" i="61"/>
  <c r="T2" i="61"/>
  <c r="P2" i="61"/>
  <c r="L2" i="61"/>
  <c r="R108" i="61"/>
  <c r="F148" i="61"/>
  <c r="F149" i="61" s="1"/>
  <c r="S2" i="61"/>
  <c r="E12" i="61"/>
  <c r="I12" i="61"/>
  <c r="I15" i="61"/>
  <c r="K18" i="61"/>
  <c r="E20" i="61"/>
  <c r="I20" i="61"/>
  <c r="J20" i="61"/>
  <c r="H21" i="61"/>
  <c r="D494" i="61"/>
  <c r="D496" i="61" s="1"/>
  <c r="D101" i="61"/>
  <c r="Q108" i="61"/>
  <c r="I137" i="61"/>
  <c r="I139" i="61" s="1"/>
  <c r="H140" i="61"/>
  <c r="K263" i="61"/>
  <c r="D97" i="61"/>
  <c r="J217" i="61"/>
  <c r="F15" i="61"/>
  <c r="J15" i="61"/>
  <c r="D119" i="61"/>
  <c r="H119" i="61"/>
  <c r="K137" i="61"/>
  <c r="K139" i="61" s="1"/>
  <c r="G217" i="61"/>
  <c r="K217" i="61"/>
  <c r="E224" i="61"/>
  <c r="H239" i="61"/>
  <c r="D306" i="61"/>
  <c r="D341" i="61"/>
  <c r="D343" i="61" s="1"/>
  <c r="D448" i="61"/>
  <c r="D450" i="61" s="1"/>
  <c r="F137" i="61"/>
  <c r="F139" i="61" s="1"/>
  <c r="F217" i="61"/>
  <c r="K15" i="61"/>
  <c r="F84" i="61"/>
  <c r="J84" i="61"/>
  <c r="K106" i="61"/>
  <c r="E119" i="61"/>
  <c r="I119" i="61"/>
  <c r="J137" i="61"/>
  <c r="J139" i="61" s="1"/>
  <c r="G177" i="61"/>
  <c r="G184" i="61" s="1"/>
  <c r="D200" i="61"/>
  <c r="H200" i="61"/>
  <c r="F224" i="61"/>
  <c r="D231" i="61"/>
  <c r="H231" i="61"/>
  <c r="S509" i="61"/>
  <c r="S107" i="61"/>
  <c r="J282" i="61"/>
  <c r="G282" i="61"/>
  <c r="D324" i="61"/>
  <c r="D327" i="61" s="1"/>
  <c r="F254" i="61"/>
  <c r="F255" i="61" s="1"/>
  <c r="N254" i="61"/>
  <c r="E341" i="61"/>
  <c r="E343" i="61" s="1"/>
  <c r="G231" i="61"/>
  <c r="F236" i="61"/>
  <c r="G238" i="61"/>
  <c r="K238" i="61"/>
  <c r="G239" i="61"/>
  <c r="D250" i="61"/>
  <c r="H250" i="61"/>
  <c r="F324" i="61"/>
  <c r="F327" i="61" s="1"/>
  <c r="D224" i="61"/>
  <c r="G288" i="61"/>
  <c r="D238" i="61"/>
  <c r="I236" i="61"/>
  <c r="E236" i="61"/>
  <c r="H236" i="61"/>
  <c r="D236" i="61"/>
  <c r="H238" i="61"/>
  <c r="J239" i="61"/>
  <c r="F239" i="61"/>
  <c r="I239" i="61"/>
  <c r="E239" i="61"/>
  <c r="E282" i="61"/>
  <c r="I282" i="61"/>
  <c r="L287" i="61"/>
  <c r="M287" i="61" s="1"/>
  <c r="N287" i="61" s="1"/>
  <c r="O287" i="61" s="1"/>
  <c r="P287" i="61" s="1"/>
  <c r="Q287" i="61" s="1"/>
  <c r="R287" i="61" s="1"/>
  <c r="S287" i="61" s="1"/>
  <c r="T287" i="61" s="1"/>
  <c r="U287" i="61" s="1"/>
  <c r="D370" i="61"/>
  <c r="D373" i="61" s="1"/>
  <c r="F341" i="61"/>
  <c r="F343" i="61" s="1"/>
  <c r="F462" i="61"/>
  <c r="J462" i="61"/>
  <c r="F496" i="61"/>
  <c r="J496" i="61"/>
  <c r="F250" i="61"/>
  <c r="J250" i="61"/>
  <c r="G306" i="61"/>
  <c r="K306" i="61"/>
  <c r="F306" i="61"/>
  <c r="E370" i="61"/>
  <c r="D395" i="61"/>
  <c r="D381" i="61" s="1"/>
  <c r="E448" i="61"/>
  <c r="E450" i="61" s="1"/>
  <c r="E429" i="61"/>
  <c r="I429" i="61"/>
  <c r="F487" i="61"/>
  <c r="F488" i="61" s="1"/>
  <c r="F448" i="61"/>
  <c r="F450" i="61" s="1"/>
  <c r="F429" i="61"/>
  <c r="J429" i="61"/>
  <c r="D462" i="61"/>
  <c r="H462" i="61"/>
  <c r="E462" i="61"/>
  <c r="E53" i="61" s="1"/>
  <c r="F527" i="61"/>
  <c r="L442" i="61"/>
  <c r="M442" i="61" s="1"/>
  <c r="N442" i="61" s="1"/>
  <c r="O442" i="61" s="1"/>
  <c r="P442" i="61" s="1"/>
  <c r="Q442" i="61" s="1"/>
  <c r="R442" i="61" s="1"/>
  <c r="S442" i="61" s="1"/>
  <c r="T442" i="61" s="1"/>
  <c r="U442" i="61" s="1"/>
  <c r="G467" i="61"/>
  <c r="K467" i="61"/>
  <c r="E496" i="61"/>
  <c r="I496" i="61"/>
  <c r="H496" i="61"/>
  <c r="L438" i="61" l="1"/>
  <c r="L439" i="61" s="1"/>
  <c r="T281" i="64"/>
  <c r="T282" i="64" s="1"/>
  <c r="U278" i="64"/>
  <c r="U279" i="64" s="1"/>
  <c r="F53" i="61"/>
  <c r="E288" i="61"/>
  <c r="E179" i="61"/>
  <c r="E182" i="61" s="1"/>
  <c r="E185" i="61"/>
  <c r="E187" i="61" s="1"/>
  <c r="K88" i="61"/>
  <c r="D529" i="61"/>
  <c r="D45" i="61" s="1"/>
  <c r="D72" i="61"/>
  <c r="D75" i="61" s="1"/>
  <c r="D76" i="61" s="1"/>
  <c r="D536" i="61"/>
  <c r="J88" i="61"/>
  <c r="D530" i="61"/>
  <c r="D535" i="61"/>
  <c r="D132" i="61"/>
  <c r="G140" i="61"/>
  <c r="E315" i="61"/>
  <c r="H188" i="61"/>
  <c r="D315" i="61"/>
  <c r="J188" i="61"/>
  <c r="E328" i="61"/>
  <c r="F132" i="61"/>
  <c r="I256" i="61"/>
  <c r="I258" i="61" s="1"/>
  <c r="H256" i="61"/>
  <c r="H258" i="61" s="1"/>
  <c r="P159" i="64"/>
  <c r="P162" i="64" s="1"/>
  <c r="P83" i="64" s="1"/>
  <c r="P84" i="64" s="1"/>
  <c r="P476" i="64"/>
  <c r="K481" i="61"/>
  <c r="U324" i="64"/>
  <c r="U507" i="64" s="1"/>
  <c r="U80" i="64"/>
  <c r="M206" i="64"/>
  <c r="M105" i="64" s="1"/>
  <c r="U209" i="64"/>
  <c r="R199" i="64"/>
  <c r="R216" i="64"/>
  <c r="U456" i="64"/>
  <c r="U117" i="64" s="1"/>
  <c r="U152" i="64"/>
  <c r="U153" i="64" s="1"/>
  <c r="T93" i="64"/>
  <c r="U429" i="64"/>
  <c r="U210" i="64" s="1"/>
  <c r="U106" i="64" s="1"/>
  <c r="U515" i="64"/>
  <c r="U306" i="64"/>
  <c r="U307" i="64" s="1"/>
  <c r="U475" i="64"/>
  <c r="U130" i="64"/>
  <c r="U132" i="64" s="1"/>
  <c r="Q520" i="64"/>
  <c r="M409" i="64"/>
  <c r="M411" i="64" s="1"/>
  <c r="U144" i="64"/>
  <c r="U81" i="64" s="1"/>
  <c r="U98" i="64"/>
  <c r="U137" i="64"/>
  <c r="U140" i="64" s="1"/>
  <c r="M217" i="64"/>
  <c r="M86" i="64" s="1"/>
  <c r="U512" i="64"/>
  <c r="U332" i="64"/>
  <c r="U41" i="64" s="1"/>
  <c r="N483" i="64"/>
  <c r="O414" i="64"/>
  <c r="N408" i="64"/>
  <c r="N200" i="64"/>
  <c r="L87" i="64"/>
  <c r="Q345" i="64"/>
  <c r="P113" i="64"/>
  <c r="P119" i="64" s="1"/>
  <c r="U171" i="64"/>
  <c r="U177" i="64" s="1"/>
  <c r="T177" i="64"/>
  <c r="S381" i="64"/>
  <c r="T395" i="64"/>
  <c r="L492" i="64"/>
  <c r="L489" i="64"/>
  <c r="R344" i="64"/>
  <c r="R514" i="64" s="1"/>
  <c r="Q495" i="64"/>
  <c r="Q496" i="64" s="1"/>
  <c r="R336" i="64"/>
  <c r="R149" i="64" s="1"/>
  <c r="R477" i="64" s="1"/>
  <c r="T264" i="64"/>
  <c r="S315" i="64"/>
  <c r="S266" i="64"/>
  <c r="S267" i="64" s="1"/>
  <c r="M37" i="64"/>
  <c r="M40" i="64"/>
  <c r="M55" i="64"/>
  <c r="R484" i="64"/>
  <c r="R73" i="64"/>
  <c r="L506" i="64"/>
  <c r="L521" i="64" s="1"/>
  <c r="L503" i="64"/>
  <c r="N479" i="64"/>
  <c r="R519" i="64"/>
  <c r="R452" i="64"/>
  <c r="R118" i="64" s="1"/>
  <c r="R61" i="64"/>
  <c r="R485" i="64"/>
  <c r="R423" i="64"/>
  <c r="R95" i="64" s="1"/>
  <c r="S421" i="64"/>
  <c r="O376" i="64"/>
  <c r="O348" i="64"/>
  <c r="O335" i="64"/>
  <c r="O380" i="64"/>
  <c r="O383" i="64" s="1"/>
  <c r="O386" i="64" s="1"/>
  <c r="O94" i="64" s="1"/>
  <c r="O406" i="64"/>
  <c r="O357" i="64"/>
  <c r="O359" i="64" s="1"/>
  <c r="O363" i="64" s="1"/>
  <c r="O420" i="64"/>
  <c r="O422" i="64" s="1"/>
  <c r="S183" i="64"/>
  <c r="S478" i="64" s="1"/>
  <c r="S85" i="64"/>
  <c r="Q149" i="64"/>
  <c r="Q477" i="64" s="1"/>
  <c r="N338" i="64"/>
  <c r="P154" i="64"/>
  <c r="O196" i="64"/>
  <c r="S493" i="64"/>
  <c r="T349" i="64"/>
  <c r="T448" i="64"/>
  <c r="S341" i="64"/>
  <c r="T342" i="64"/>
  <c r="S449" i="64"/>
  <c r="R107" i="61"/>
  <c r="M509" i="61"/>
  <c r="M107" i="61"/>
  <c r="U509" i="61"/>
  <c r="U107" i="61"/>
  <c r="Q509" i="61"/>
  <c r="Q107" i="61"/>
  <c r="K112" i="61"/>
  <c r="D256" i="61"/>
  <c r="D258" i="61" s="1"/>
  <c r="D140" i="61"/>
  <c r="G256" i="61"/>
  <c r="G258" i="61" s="1"/>
  <c r="E256" i="61"/>
  <c r="E258" i="61" s="1"/>
  <c r="I288" i="61"/>
  <c r="K256" i="61"/>
  <c r="K258" i="61" s="1"/>
  <c r="L255" i="61"/>
  <c r="M255" i="61" s="1"/>
  <c r="N255" i="61" s="1"/>
  <c r="O255" i="61" s="1"/>
  <c r="P255" i="61" s="1"/>
  <c r="Q255" i="61" s="1"/>
  <c r="R255" i="61" s="1"/>
  <c r="S255" i="61" s="1"/>
  <c r="T255" i="61" s="1"/>
  <c r="U255" i="61" s="1"/>
  <c r="D53" i="61"/>
  <c r="J439" i="61"/>
  <c r="I439" i="61"/>
  <c r="G88" i="61"/>
  <c r="G481" i="61"/>
  <c r="N509" i="61"/>
  <c r="N107" i="61"/>
  <c r="D328" i="61"/>
  <c r="F140" i="61"/>
  <c r="N26" i="61"/>
  <c r="D159" i="61"/>
  <c r="I481" i="61"/>
  <c r="I88" i="61"/>
  <c r="E451" i="61"/>
  <c r="E61" i="61" s="1"/>
  <c r="F328" i="61"/>
  <c r="F256" i="61"/>
  <c r="F258" i="61" s="1"/>
  <c r="J140" i="61"/>
  <c r="E373" i="61"/>
  <c r="D406" i="61"/>
  <c r="D407" i="61" s="1"/>
  <c r="D348" i="61"/>
  <c r="D349" i="61" s="1"/>
  <c r="D357" i="61"/>
  <c r="D358" i="61" s="1"/>
  <c r="D165" i="61"/>
  <c r="D150" i="61"/>
  <c r="L239" i="61"/>
  <c r="L481" i="61" s="1"/>
  <c r="E140" i="61"/>
  <c r="D36" i="61"/>
  <c r="E439" i="61"/>
  <c r="G179" i="61"/>
  <c r="G182" i="61" s="1"/>
  <c r="E159" i="61"/>
  <c r="E165" i="61"/>
  <c r="D451" i="61"/>
  <c r="D61" i="61" s="1"/>
  <c r="M285" i="61"/>
  <c r="M247" i="61"/>
  <c r="L248" i="61"/>
  <c r="D188" i="61"/>
  <c r="E150" i="61"/>
  <c r="E154" i="61" s="1"/>
  <c r="F188" i="61"/>
  <c r="E535" i="61"/>
  <c r="E36" i="61" s="1"/>
  <c r="F68" i="61"/>
  <c r="F451" i="61"/>
  <c r="F61" i="61" s="1"/>
  <c r="H439" i="61"/>
  <c r="F344" i="61"/>
  <c r="G439" i="61"/>
  <c r="D481" i="61"/>
  <c r="D482" i="61" s="1"/>
  <c r="D489" i="61" s="1"/>
  <c r="D88" i="61"/>
  <c r="D89" i="61" s="1"/>
  <c r="D90" i="61" s="1"/>
  <c r="D259" i="61"/>
  <c r="J481" i="61"/>
  <c r="D344" i="61"/>
  <c r="F159" i="61"/>
  <c r="L285" i="61"/>
  <c r="M237" i="61"/>
  <c r="L249" i="61"/>
  <c r="D314" i="61"/>
  <c r="L30" i="61"/>
  <c r="F439" i="61"/>
  <c r="E314" i="61"/>
  <c r="F165" i="61"/>
  <c r="F150" i="61"/>
  <c r="F154" i="61" s="1"/>
  <c r="E529" i="61"/>
  <c r="E45" i="61" s="1"/>
  <c r="E68" i="61"/>
  <c r="E536" i="61"/>
  <c r="E530" i="61"/>
  <c r="L510" i="61"/>
  <c r="L467" i="61"/>
  <c r="L109" i="61" s="1"/>
  <c r="F528" i="61"/>
  <c r="F71" i="61" s="1"/>
  <c r="D439" i="61"/>
  <c r="E395" i="61"/>
  <c r="H481" i="61"/>
  <c r="H88" i="61"/>
  <c r="E481" i="61"/>
  <c r="E482" i="61" s="1"/>
  <c r="E489" i="61" s="1"/>
  <c r="E88" i="61"/>
  <c r="E89" i="61" s="1"/>
  <c r="E90" i="61" s="1"/>
  <c r="F481" i="61"/>
  <c r="F482" i="61" s="1"/>
  <c r="F489" i="61" s="1"/>
  <c r="F88" i="61"/>
  <c r="F89" i="61" s="1"/>
  <c r="F90" i="61" s="1"/>
  <c r="E344" i="61"/>
  <c r="D382" i="61"/>
  <c r="D383" i="61" s="1"/>
  <c r="D385" i="61" s="1"/>
  <c r="K140" i="61"/>
  <c r="I140" i="61"/>
  <c r="M240" i="61"/>
  <c r="N228" i="61"/>
  <c r="M440" i="61"/>
  <c r="F314" i="61"/>
  <c r="M438" i="61" l="1"/>
  <c r="M439" i="61" s="1"/>
  <c r="U281" i="64"/>
  <c r="U282" i="64" s="1"/>
  <c r="E166" i="61"/>
  <c r="E167" i="61" s="1"/>
  <c r="E44" i="61" s="1"/>
  <c r="L174" i="61"/>
  <c r="L173" i="61"/>
  <c r="F166" i="61"/>
  <c r="F167" i="61" s="1"/>
  <c r="D166" i="61"/>
  <c r="D167" i="61" s="1"/>
  <c r="D44" i="61" s="1"/>
  <c r="E188" i="61"/>
  <c r="E39" i="61"/>
  <c r="E104" i="61"/>
  <c r="E120" i="61" s="1"/>
  <c r="H259" i="61"/>
  <c r="F529" i="61"/>
  <c r="F45" i="61" s="1"/>
  <c r="F49" i="61" s="1"/>
  <c r="E259" i="61"/>
  <c r="D49" i="61"/>
  <c r="M29" i="61"/>
  <c r="M30" i="61" s="1"/>
  <c r="M27" i="61" s="1"/>
  <c r="U328" i="64"/>
  <c r="U39" i="64" s="1"/>
  <c r="U342" i="64"/>
  <c r="U314" i="64"/>
  <c r="N417" i="64"/>
  <c r="N415" i="64" s="1"/>
  <c r="R520" i="64"/>
  <c r="U448" i="64"/>
  <c r="T341" i="64"/>
  <c r="M104" i="64"/>
  <c r="R345" i="64"/>
  <c r="Q113" i="64"/>
  <c r="Q119" i="64" s="1"/>
  <c r="T493" i="64"/>
  <c r="U349" i="64"/>
  <c r="U493" i="64" s="1"/>
  <c r="Q158" i="64"/>
  <c r="Q82" i="64"/>
  <c r="Q150" i="64"/>
  <c r="O375" i="64"/>
  <c r="O337" i="64"/>
  <c r="O338" i="64" s="1"/>
  <c r="O74" i="64"/>
  <c r="L525" i="64"/>
  <c r="M100" i="64"/>
  <c r="M111" i="64"/>
  <c r="M112" i="64" s="1"/>
  <c r="R495" i="64"/>
  <c r="R496" i="64" s="1"/>
  <c r="S336" i="64"/>
  <c r="S149" i="64" s="1"/>
  <c r="S477" i="64" s="1"/>
  <c r="S484" i="64"/>
  <c r="S73" i="64"/>
  <c r="U185" i="64"/>
  <c r="U188" i="64" s="1"/>
  <c r="U179" i="64"/>
  <c r="U182" i="64" s="1"/>
  <c r="N488" i="64"/>
  <c r="N501" i="64"/>
  <c r="S474" i="64"/>
  <c r="T449" i="64"/>
  <c r="U264" i="64"/>
  <c r="T315" i="64"/>
  <c r="T266" i="64"/>
  <c r="T267" i="64" s="1"/>
  <c r="R158" i="64"/>
  <c r="R82" i="64"/>
  <c r="R150" i="64"/>
  <c r="T381" i="64"/>
  <c r="U395" i="64"/>
  <c r="U381" i="64" s="1"/>
  <c r="T179" i="64"/>
  <c r="T182" i="64" s="1"/>
  <c r="T185" i="64"/>
  <c r="T188" i="64" s="1"/>
  <c r="S344" i="64"/>
  <c r="S514" i="64" s="1"/>
  <c r="O350" i="64"/>
  <c r="O354" i="64" s="1"/>
  <c r="O92" i="64" s="1"/>
  <c r="P69" i="64"/>
  <c r="S317" i="64"/>
  <c r="S319" i="64" s="1"/>
  <c r="L497" i="64"/>
  <c r="L48" i="64"/>
  <c r="L221" i="64"/>
  <c r="L222" i="64"/>
  <c r="L223" i="64"/>
  <c r="L89" i="64"/>
  <c r="L90" i="64" s="1"/>
  <c r="S485" i="64"/>
  <c r="S423" i="64"/>
  <c r="S95" i="64" s="1"/>
  <c r="T421" i="64"/>
  <c r="O203" i="64"/>
  <c r="U93" i="64"/>
  <c r="S451" i="64"/>
  <c r="O412" i="64"/>
  <c r="O413" i="64" s="1"/>
  <c r="O407" i="64" s="1"/>
  <c r="O377" i="64"/>
  <c r="L504" i="64"/>
  <c r="M91" i="64"/>
  <c r="M97" i="64" s="1"/>
  <c r="G259" i="61"/>
  <c r="F315" i="61"/>
  <c r="L257" i="61"/>
  <c r="M257" i="61" s="1"/>
  <c r="N257" i="61" s="1"/>
  <c r="O257" i="61" s="1"/>
  <c r="P257" i="61" s="1"/>
  <c r="Q257" i="61" s="1"/>
  <c r="R257" i="61" s="1"/>
  <c r="S257" i="61" s="1"/>
  <c r="T257" i="61" s="1"/>
  <c r="U257" i="61" s="1"/>
  <c r="K259" i="61"/>
  <c r="G185" i="61"/>
  <c r="G187" i="61" s="1"/>
  <c r="L250" i="61"/>
  <c r="L27" i="61"/>
  <c r="L191" i="61" s="1"/>
  <c r="D386" i="61"/>
  <c r="F162" i="61"/>
  <c r="F168" i="61" s="1"/>
  <c r="E162" i="61"/>
  <c r="E168" i="61" s="1"/>
  <c r="D162" i="61"/>
  <c r="D168" i="61" s="1"/>
  <c r="D39" i="61"/>
  <c r="D104" i="61"/>
  <c r="D120" i="61" s="1"/>
  <c r="E70" i="61"/>
  <c r="E72" i="61" s="1"/>
  <c r="E75" i="61" s="1"/>
  <c r="E76" i="61" s="1"/>
  <c r="F225" i="61"/>
  <c r="E225" i="61"/>
  <c r="D154" i="61"/>
  <c r="M236" i="61"/>
  <c r="N237" i="61"/>
  <c r="O237" i="61" s="1"/>
  <c r="P237" i="61" s="1"/>
  <c r="Q237" i="61" s="1"/>
  <c r="R237" i="61" s="1"/>
  <c r="S237" i="61" s="1"/>
  <c r="T237" i="61" s="1"/>
  <c r="U237" i="61" s="1"/>
  <c r="N247" i="61"/>
  <c r="M249" i="61"/>
  <c r="M248" i="61"/>
  <c r="F39" i="61"/>
  <c r="F104" i="61"/>
  <c r="F120" i="61" s="1"/>
  <c r="O26" i="61"/>
  <c r="L184" i="61"/>
  <c r="E102" i="61"/>
  <c r="L441" i="61"/>
  <c r="D102" i="61"/>
  <c r="D43" i="61"/>
  <c r="D350" i="61"/>
  <c r="D353" i="61" s="1"/>
  <c r="D335" i="61"/>
  <c r="D336" i="61" s="1"/>
  <c r="F70" i="61"/>
  <c r="D359" i="61"/>
  <c r="D362" i="61" s="1"/>
  <c r="E49" i="61"/>
  <c r="E497" i="61"/>
  <c r="E48" i="61"/>
  <c r="F536" i="61"/>
  <c r="F535" i="61"/>
  <c r="F36" i="61" s="1"/>
  <c r="F530" i="61"/>
  <c r="D497" i="61"/>
  <c r="D48" i="61"/>
  <c r="N240" i="61"/>
  <c r="O240" i="61" s="1"/>
  <c r="D420" i="61"/>
  <c r="D421" i="61" s="1"/>
  <c r="F259" i="61"/>
  <c r="L88" i="61"/>
  <c r="F497" i="61"/>
  <c r="F48" i="61"/>
  <c r="N440" i="61"/>
  <c r="N285" i="61"/>
  <c r="O228" i="61"/>
  <c r="J259" i="61"/>
  <c r="F102" i="61"/>
  <c r="E381" i="61"/>
  <c r="E382" i="61"/>
  <c r="F395" i="61"/>
  <c r="M510" i="61"/>
  <c r="M467" i="61"/>
  <c r="M109" i="61" s="1"/>
  <c r="M239" i="61"/>
  <c r="F373" i="61"/>
  <c r="E406" i="61"/>
  <c r="E407" i="61" s="1"/>
  <c r="E348" i="61"/>
  <c r="E349" i="61" s="1"/>
  <c r="E357" i="61"/>
  <c r="E358" i="61" s="1"/>
  <c r="N438" i="61" l="1"/>
  <c r="N439" i="61" s="1"/>
  <c r="N441" i="61" s="1"/>
  <c r="M191" i="61"/>
  <c r="M173" i="61"/>
  <c r="M174" i="61"/>
  <c r="E43" i="61"/>
  <c r="R159" i="64"/>
  <c r="R162" i="64" s="1"/>
  <c r="R83" i="64" s="1"/>
  <c r="R84" i="64" s="1"/>
  <c r="R476" i="64"/>
  <c r="Q159" i="64"/>
  <c r="Q162" i="64" s="1"/>
  <c r="Q83" i="64" s="1"/>
  <c r="Q84" i="64" s="1"/>
  <c r="Q476" i="64"/>
  <c r="G188" i="61"/>
  <c r="N204" i="64"/>
  <c r="N214" i="64" s="1"/>
  <c r="N205" i="64"/>
  <c r="N215" i="64" s="1"/>
  <c r="O198" i="64" s="1"/>
  <c r="O483" i="64"/>
  <c r="P414" i="64"/>
  <c r="O408" i="64"/>
  <c r="S199" i="64"/>
  <c r="S216" i="64"/>
  <c r="T484" i="64"/>
  <c r="T73" i="64"/>
  <c r="S158" i="64"/>
  <c r="S150" i="64"/>
  <c r="S82" i="64"/>
  <c r="L224" i="64"/>
  <c r="N416" i="64"/>
  <c r="N410" i="64" s="1"/>
  <c r="R154" i="64"/>
  <c r="T317" i="64"/>
  <c r="T319" i="64" s="1"/>
  <c r="T474" i="64"/>
  <c r="U449" i="64"/>
  <c r="U474" i="64" s="1"/>
  <c r="S495" i="64"/>
  <c r="S496" i="64" s="1"/>
  <c r="T336" i="64"/>
  <c r="M526" i="64"/>
  <c r="L527" i="64"/>
  <c r="L528" i="64" s="1"/>
  <c r="R113" i="64"/>
  <c r="R119" i="64" s="1"/>
  <c r="T451" i="64"/>
  <c r="T344" i="64"/>
  <c r="T514" i="64" s="1"/>
  <c r="O508" i="64"/>
  <c r="O513" i="64" s="1"/>
  <c r="O213" i="64"/>
  <c r="L120" i="64"/>
  <c r="L99" i="64"/>
  <c r="T183" i="64"/>
  <c r="T478" i="64" s="1"/>
  <c r="T85" i="64"/>
  <c r="S79" i="64"/>
  <c r="U183" i="64"/>
  <c r="U478" i="64" s="1"/>
  <c r="U85" i="64"/>
  <c r="U341" i="64"/>
  <c r="S519" i="64"/>
  <c r="S520" i="64" s="1"/>
  <c r="S452" i="64"/>
  <c r="S118" i="64" s="1"/>
  <c r="S61" i="64"/>
  <c r="T485" i="64"/>
  <c r="T423" i="64"/>
  <c r="T95" i="64" s="1"/>
  <c r="U421" i="64"/>
  <c r="P376" i="64"/>
  <c r="P357" i="64"/>
  <c r="P359" i="64" s="1"/>
  <c r="P363" i="64" s="1"/>
  <c r="P348" i="64"/>
  <c r="P380" i="64"/>
  <c r="P383" i="64" s="1"/>
  <c r="P386" i="64" s="1"/>
  <c r="P94" i="64" s="1"/>
  <c r="P420" i="64"/>
  <c r="P422" i="64" s="1"/>
  <c r="P335" i="64"/>
  <c r="P406" i="64"/>
  <c r="U484" i="64"/>
  <c r="U73" i="64"/>
  <c r="U315" i="64"/>
  <c r="U266" i="64"/>
  <c r="U267" i="64" s="1"/>
  <c r="Q154" i="64"/>
  <c r="F72" i="61"/>
  <c r="F75" i="61" s="1"/>
  <c r="F76" i="61" s="1"/>
  <c r="F44" i="61"/>
  <c r="F46" i="61" s="1"/>
  <c r="L258" i="61"/>
  <c r="M258" i="61" s="1"/>
  <c r="N258" i="61" s="1"/>
  <c r="O258" i="61" s="1"/>
  <c r="P258" i="61" s="1"/>
  <c r="Q258" i="61" s="1"/>
  <c r="R258" i="61" s="1"/>
  <c r="S258" i="61" s="1"/>
  <c r="T258" i="61" s="1"/>
  <c r="U258" i="61" s="1"/>
  <c r="L190" i="61"/>
  <c r="M190" i="61" s="1"/>
  <c r="N236" i="61"/>
  <c r="S236" i="61"/>
  <c r="F35" i="61"/>
  <c r="F38" i="61" s="1"/>
  <c r="F42" i="61" s="1"/>
  <c r="F121" i="61" s="1"/>
  <c r="O236" i="61"/>
  <c r="U236" i="61"/>
  <c r="M250" i="61"/>
  <c r="T236" i="61"/>
  <c r="D35" i="61"/>
  <c r="D38" i="61" s="1"/>
  <c r="D42" i="61" s="1"/>
  <c r="D121" i="61" s="1"/>
  <c r="E47" i="61"/>
  <c r="E46" i="61"/>
  <c r="D47" i="61"/>
  <c r="D46" i="61"/>
  <c r="N510" i="61"/>
  <c r="N467" i="61"/>
  <c r="N109" i="61" s="1"/>
  <c r="D337" i="61"/>
  <c r="O247" i="61"/>
  <c r="N249" i="61"/>
  <c r="N248" i="61"/>
  <c r="F357" i="61"/>
  <c r="F358" i="61" s="1"/>
  <c r="F348" i="61"/>
  <c r="F349" i="61" s="1"/>
  <c r="F406" i="61"/>
  <c r="F407" i="61" s="1"/>
  <c r="E383" i="61"/>
  <c r="E385" i="61" s="1"/>
  <c r="O285" i="61"/>
  <c r="P228" i="61"/>
  <c r="N29" i="61"/>
  <c r="D408" i="61"/>
  <c r="M184" i="61"/>
  <c r="L193" i="61"/>
  <c r="L192" i="61" s="1"/>
  <c r="R236" i="61"/>
  <c r="Q236" i="61"/>
  <c r="E420" i="61"/>
  <c r="E421" i="61" s="1"/>
  <c r="D363" i="61"/>
  <c r="E359" i="61"/>
  <c r="E362" i="61" s="1"/>
  <c r="D354" i="61"/>
  <c r="P240" i="61"/>
  <c r="P239" i="61" s="1"/>
  <c r="E35" i="61"/>
  <c r="E38" i="61" s="1"/>
  <c r="E42" i="61" s="1"/>
  <c r="E121" i="61" s="1"/>
  <c r="I259" i="61"/>
  <c r="E350" i="61"/>
  <c r="E353" i="61" s="1"/>
  <c r="E335" i="61"/>
  <c r="E336" i="61" s="1"/>
  <c r="F381" i="61"/>
  <c r="F382" i="61"/>
  <c r="G395" i="61"/>
  <c r="O440" i="61"/>
  <c r="O438" i="61" s="1"/>
  <c r="D422" i="61"/>
  <c r="O239" i="61"/>
  <c r="F43" i="61"/>
  <c r="M441" i="61"/>
  <c r="N239" i="61"/>
  <c r="P26" i="61"/>
  <c r="P236" i="61"/>
  <c r="M481" i="61"/>
  <c r="M88" i="61"/>
  <c r="O439" i="61" l="1"/>
  <c r="F383" i="61"/>
  <c r="F385" i="61" s="1"/>
  <c r="S159" i="64"/>
  <c r="S162" i="64" s="1"/>
  <c r="S83" i="64" s="1"/>
  <c r="S84" i="64" s="1"/>
  <c r="S476" i="64"/>
  <c r="N206" i="64"/>
  <c r="N105" i="64" s="1"/>
  <c r="U451" i="64"/>
  <c r="U519" i="64" s="1"/>
  <c r="N217" i="64"/>
  <c r="N86" i="64" s="1"/>
  <c r="N40" i="64"/>
  <c r="N55" i="64"/>
  <c r="N37" i="64"/>
  <c r="U344" i="64"/>
  <c r="U514" i="64" s="1"/>
  <c r="L532" i="64"/>
  <c r="L101" i="64"/>
  <c r="L102" i="64" s="1"/>
  <c r="O479" i="64"/>
  <c r="P196" i="64"/>
  <c r="L59" i="64"/>
  <c r="L71" i="64"/>
  <c r="L530" i="64"/>
  <c r="L44" i="64" s="1"/>
  <c r="L52" i="64"/>
  <c r="N409" i="64"/>
  <c r="T199" i="64"/>
  <c r="U317" i="64"/>
  <c r="U319" i="64" s="1"/>
  <c r="P412" i="64"/>
  <c r="P413" i="64" s="1"/>
  <c r="P407" i="64" s="1"/>
  <c r="Q414" i="64" s="1"/>
  <c r="P377" i="64"/>
  <c r="P350" i="64"/>
  <c r="P354" i="64" s="1"/>
  <c r="P92" i="64" s="1"/>
  <c r="Q69" i="64"/>
  <c r="O197" i="64"/>
  <c r="S345" i="64"/>
  <c r="M480" i="64"/>
  <c r="U79" i="64"/>
  <c r="P203" i="64"/>
  <c r="T519" i="64"/>
  <c r="T520" i="64" s="1"/>
  <c r="T452" i="64"/>
  <c r="T118" i="64" s="1"/>
  <c r="T61" i="64"/>
  <c r="T495" i="64"/>
  <c r="T496" i="64" s="1"/>
  <c r="U336" i="64"/>
  <c r="U495" i="64" s="1"/>
  <c r="U496" i="64" s="1"/>
  <c r="P375" i="64"/>
  <c r="P337" i="64"/>
  <c r="P74" i="64"/>
  <c r="U485" i="64"/>
  <c r="U423" i="64"/>
  <c r="U95" i="64" s="1"/>
  <c r="L68" i="64"/>
  <c r="L529" i="64"/>
  <c r="L45" i="64" s="1"/>
  <c r="T149" i="64"/>
  <c r="T477" i="64" s="1"/>
  <c r="T79" i="64"/>
  <c r="S154" i="64"/>
  <c r="T216" i="64"/>
  <c r="O488" i="64"/>
  <c r="O501" i="64"/>
  <c r="F47" i="61"/>
  <c r="N481" i="61"/>
  <c r="O481" i="61"/>
  <c r="N250" i="61"/>
  <c r="O88" i="61"/>
  <c r="E354" i="61"/>
  <c r="E363" i="61"/>
  <c r="N88" i="61"/>
  <c r="P285" i="61"/>
  <c r="Q228" i="61"/>
  <c r="M487" i="61"/>
  <c r="M96" i="61"/>
  <c r="E337" i="61"/>
  <c r="N487" i="61"/>
  <c r="N96" i="61"/>
  <c r="N30" i="61"/>
  <c r="O29" i="61" s="1"/>
  <c r="F408" i="61"/>
  <c r="F420" i="61"/>
  <c r="F421" i="61" s="1"/>
  <c r="G381" i="61"/>
  <c r="H395" i="61"/>
  <c r="G382" i="61"/>
  <c r="M193" i="61"/>
  <c r="M192" i="61" s="1"/>
  <c r="F386" i="61"/>
  <c r="E422" i="61"/>
  <c r="N184" i="61"/>
  <c r="F350" i="61"/>
  <c r="F353" i="61" s="1"/>
  <c r="F335" i="61"/>
  <c r="F336" i="61" s="1"/>
  <c r="P481" i="61"/>
  <c r="P88" i="61"/>
  <c r="D59" i="61"/>
  <c r="D62" i="61" s="1"/>
  <c r="D63" i="61" s="1"/>
  <c r="Q26" i="61"/>
  <c r="P440" i="61"/>
  <c r="P438" i="61" s="1"/>
  <c r="Q240" i="61"/>
  <c r="E408" i="61"/>
  <c r="D411" i="61"/>
  <c r="D413" i="61" s="1"/>
  <c r="D412" i="61" s="1"/>
  <c r="E386" i="61"/>
  <c r="F359" i="61"/>
  <c r="F362" i="61" s="1"/>
  <c r="P247" i="61"/>
  <c r="O249" i="61"/>
  <c r="O248" i="61"/>
  <c r="O510" i="61"/>
  <c r="O467" i="61"/>
  <c r="O109" i="61" s="1"/>
  <c r="N173" i="61" l="1"/>
  <c r="N174" i="61"/>
  <c r="G383" i="61"/>
  <c r="G385" i="61" s="1"/>
  <c r="U61" i="64"/>
  <c r="U149" i="64"/>
  <c r="U520" i="64"/>
  <c r="T158" i="64"/>
  <c r="T150" i="64"/>
  <c r="T82" i="64"/>
  <c r="U216" i="64"/>
  <c r="L46" i="64"/>
  <c r="L49" i="64"/>
  <c r="P508" i="64"/>
  <c r="P513" i="64" s="1"/>
  <c r="P213" i="64"/>
  <c r="Q196" i="64" s="1"/>
  <c r="M220" i="64"/>
  <c r="M482" i="64"/>
  <c r="M500" i="64"/>
  <c r="O200" i="64"/>
  <c r="Q376" i="64"/>
  <c r="Q348" i="64"/>
  <c r="Q406" i="64"/>
  <c r="Q357" i="64"/>
  <c r="Q359" i="64" s="1"/>
  <c r="Q363" i="64" s="1"/>
  <c r="Q420" i="64"/>
  <c r="Q422" i="64" s="1"/>
  <c r="Q380" i="64"/>
  <c r="Q383" i="64" s="1"/>
  <c r="Q386" i="64" s="1"/>
  <c r="Q94" i="64" s="1"/>
  <c r="Q335" i="64"/>
  <c r="P483" i="64"/>
  <c r="L47" i="64"/>
  <c r="N100" i="64"/>
  <c r="N111" i="64"/>
  <c r="N112" i="64" s="1"/>
  <c r="T345" i="64"/>
  <c r="S113" i="64"/>
  <c r="S119" i="64" s="1"/>
  <c r="L60" i="64"/>
  <c r="L62" i="64" s="1"/>
  <c r="L70" i="64"/>
  <c r="L72" i="64" s="1"/>
  <c r="L75" i="64" s="1"/>
  <c r="P338" i="64"/>
  <c r="U199" i="64"/>
  <c r="O417" i="64"/>
  <c r="N411" i="64"/>
  <c r="Q203" i="64"/>
  <c r="M533" i="64"/>
  <c r="L534" i="64"/>
  <c r="U452" i="64"/>
  <c r="U118" i="64" s="1"/>
  <c r="P408" i="64"/>
  <c r="N104" i="64"/>
  <c r="O250" i="61"/>
  <c r="F411" i="61"/>
  <c r="F413" i="61" s="1"/>
  <c r="F412" i="61" s="1"/>
  <c r="P510" i="61"/>
  <c r="P467" i="61"/>
  <c r="P109" i="61" s="1"/>
  <c r="E411" i="61"/>
  <c r="E413" i="61" s="1"/>
  <c r="E412" i="61" s="1"/>
  <c r="O441" i="61"/>
  <c r="R26" i="61"/>
  <c r="F337" i="61"/>
  <c r="O184" i="61"/>
  <c r="F363" i="61"/>
  <c r="Q440" i="61"/>
  <c r="P439" i="61"/>
  <c r="F354" i="61"/>
  <c r="O30" i="61"/>
  <c r="O27" i="61" s="1"/>
  <c r="E59" i="61"/>
  <c r="E62" i="61" s="1"/>
  <c r="E63" i="61" s="1"/>
  <c r="D52" i="61"/>
  <c r="D54" i="61" s="1"/>
  <c r="D57" i="61" s="1"/>
  <c r="G386" i="61"/>
  <c r="Q247" i="61"/>
  <c r="P249" i="61"/>
  <c r="P248" i="61"/>
  <c r="Q239" i="61"/>
  <c r="R240" i="61"/>
  <c r="S240" i="61" s="1"/>
  <c r="T240" i="61" s="1"/>
  <c r="U240" i="61" s="1"/>
  <c r="H381" i="61"/>
  <c r="I395" i="61"/>
  <c r="H382" i="61"/>
  <c r="F422" i="61"/>
  <c r="N27" i="61"/>
  <c r="N191" i="61" s="1"/>
  <c r="Q285" i="61"/>
  <c r="R228" i="61"/>
  <c r="N64" i="17"/>
  <c r="N44" i="17"/>
  <c r="N36" i="17"/>
  <c r="Q438" i="61" l="1"/>
  <c r="Q439" i="61" s="1"/>
  <c r="Q441" i="61" s="1"/>
  <c r="O191" i="61"/>
  <c r="U239" i="61"/>
  <c r="U481" i="61" s="1"/>
  <c r="O174" i="61"/>
  <c r="O173" i="61"/>
  <c r="U150" i="64"/>
  <c r="U154" i="64" s="1"/>
  <c r="U477" i="64"/>
  <c r="T159" i="64"/>
  <c r="T162" i="64" s="1"/>
  <c r="T83" i="64" s="1"/>
  <c r="T84" i="64" s="1"/>
  <c r="T476" i="64"/>
  <c r="U158" i="64"/>
  <c r="U82" i="64"/>
  <c r="P479" i="64"/>
  <c r="Q508" i="64"/>
  <c r="Q513" i="64" s="1"/>
  <c r="Q213" i="64"/>
  <c r="R196" i="64" s="1"/>
  <c r="O415" i="64"/>
  <c r="O204" i="64"/>
  <c r="O205" i="64"/>
  <c r="U345" i="64"/>
  <c r="U113" i="64" s="1"/>
  <c r="U119" i="64" s="1"/>
  <c r="T113" i="64"/>
  <c r="T119" i="64" s="1"/>
  <c r="P488" i="64"/>
  <c r="P501" i="64"/>
  <c r="M506" i="64"/>
  <c r="M521" i="64" s="1"/>
  <c r="M503" i="64"/>
  <c r="L64" i="64"/>
  <c r="L522" i="64"/>
  <c r="T154" i="64"/>
  <c r="M87" i="64"/>
  <c r="Q375" i="64"/>
  <c r="Q337" i="64"/>
  <c r="Q74" i="64"/>
  <c r="Q377" i="64"/>
  <c r="Q412" i="64"/>
  <c r="Q413" i="64" s="1"/>
  <c r="Q407" i="64" s="1"/>
  <c r="M489" i="64"/>
  <c r="M492" i="64"/>
  <c r="L67" i="64"/>
  <c r="L53" i="64" s="1"/>
  <c r="L54" i="64" s="1"/>
  <c r="L56" i="64" s="1"/>
  <c r="L535" i="64"/>
  <c r="L36" i="64" s="1"/>
  <c r="L536" i="64"/>
  <c r="L35" i="64" s="1"/>
  <c r="N91" i="64"/>
  <c r="N97" i="64" s="1"/>
  <c r="L490" i="64"/>
  <c r="M238" i="64"/>
  <c r="Q350" i="64"/>
  <c r="Q354" i="64" s="1"/>
  <c r="Q92" i="64" s="1"/>
  <c r="R69" i="64"/>
  <c r="N10" i="17"/>
  <c r="N20" i="17"/>
  <c r="N28" i="17"/>
  <c r="N22" i="17"/>
  <c r="N30" i="17"/>
  <c r="N38" i="17"/>
  <c r="N46" i="17"/>
  <c r="N16" i="17"/>
  <c r="N24" i="17"/>
  <c r="N32" i="17"/>
  <c r="N40" i="17"/>
  <c r="N65" i="17"/>
  <c r="N18" i="17"/>
  <c r="N26" i="17"/>
  <c r="N34" i="17"/>
  <c r="N42" i="17"/>
  <c r="H383" i="61"/>
  <c r="H385" i="61" s="1"/>
  <c r="P250" i="61"/>
  <c r="F59" i="61"/>
  <c r="F62" i="61" s="1"/>
  <c r="F63" i="61" s="1"/>
  <c r="O487" i="61"/>
  <c r="O96" i="61"/>
  <c r="S239" i="61"/>
  <c r="P29" i="61"/>
  <c r="F52" i="61"/>
  <c r="F54" i="61" s="1"/>
  <c r="F57" i="61" s="1"/>
  <c r="S26" i="61"/>
  <c r="R285" i="61"/>
  <c r="S228" i="61"/>
  <c r="N190" i="61"/>
  <c r="O190" i="61" s="1"/>
  <c r="T239" i="61"/>
  <c r="R239" i="61"/>
  <c r="R247" i="61"/>
  <c r="Q248" i="61"/>
  <c r="Q249" i="61"/>
  <c r="D56" i="61"/>
  <c r="P184" i="61"/>
  <c r="Q510" i="61"/>
  <c r="Q467" i="61"/>
  <c r="Q109" i="61" s="1"/>
  <c r="E52" i="61"/>
  <c r="E54" i="61" s="1"/>
  <c r="E57" i="61" s="1"/>
  <c r="I381" i="61"/>
  <c r="J395" i="61"/>
  <c r="I382" i="61"/>
  <c r="Q88" i="61"/>
  <c r="Q481" i="61"/>
  <c r="R440" i="61"/>
  <c r="R438" i="61" s="1"/>
  <c r="P441" i="61"/>
  <c r="N14" i="17"/>
  <c r="U88" i="61" l="1"/>
  <c r="H386" i="61"/>
  <c r="U159" i="64"/>
  <c r="U162" i="64" s="1"/>
  <c r="U83" i="64" s="1"/>
  <c r="U84" i="64" s="1"/>
  <c r="U476" i="64"/>
  <c r="Q479" i="64"/>
  <c r="Q483" i="64"/>
  <c r="R414" i="64"/>
  <c r="Q408" i="64"/>
  <c r="L38" i="64"/>
  <c r="L42" i="64" s="1"/>
  <c r="L43" i="64"/>
  <c r="O215" i="64"/>
  <c r="P198" i="64" s="1"/>
  <c r="O214" i="64"/>
  <c r="O206" i="64"/>
  <c r="O105" i="64" s="1"/>
  <c r="M222" i="64"/>
  <c r="M223" i="64"/>
  <c r="M221" i="64"/>
  <c r="M89" i="64"/>
  <c r="M90" i="64" s="1"/>
  <c r="R376" i="64"/>
  <c r="R420" i="64"/>
  <c r="R422" i="64" s="1"/>
  <c r="R357" i="64"/>
  <c r="R359" i="64" s="1"/>
  <c r="R363" i="64" s="1"/>
  <c r="R335" i="64"/>
  <c r="R380" i="64"/>
  <c r="R383" i="64" s="1"/>
  <c r="R386" i="64" s="1"/>
  <c r="R94" i="64" s="1"/>
  <c r="R406" i="64"/>
  <c r="R348" i="64"/>
  <c r="Q338" i="64"/>
  <c r="M525" i="64"/>
  <c r="O416" i="64"/>
  <c r="O409" i="64" s="1"/>
  <c r="M497" i="64"/>
  <c r="M48" i="64"/>
  <c r="M504" i="64"/>
  <c r="I383" i="61"/>
  <c r="I385" i="61" s="1"/>
  <c r="Q250" i="61"/>
  <c r="Q184" i="61"/>
  <c r="E56" i="61"/>
  <c r="R510" i="61"/>
  <c r="R467" i="61"/>
  <c r="R109" i="61" s="1"/>
  <c r="S247" i="61"/>
  <c r="R249" i="61"/>
  <c r="R248" i="61"/>
  <c r="N193" i="61"/>
  <c r="N192" i="61" s="1"/>
  <c r="S88" i="61"/>
  <c r="S481" i="61"/>
  <c r="P30" i="61"/>
  <c r="P173" i="61" s="1"/>
  <c r="S440" i="61"/>
  <c r="S438" i="61" s="1"/>
  <c r="R439" i="61"/>
  <c r="S285" i="61"/>
  <c r="T228" i="61"/>
  <c r="T26" i="61"/>
  <c r="F56" i="61"/>
  <c r="T481" i="61"/>
  <c r="T88" i="61"/>
  <c r="P487" i="61"/>
  <c r="P96" i="61"/>
  <c r="J381" i="61"/>
  <c r="K395" i="61"/>
  <c r="J382" i="61"/>
  <c r="Q487" i="61"/>
  <c r="Q96" i="61"/>
  <c r="R88" i="61"/>
  <c r="R481" i="61"/>
  <c r="K486" i="61"/>
  <c r="M486" i="61"/>
  <c r="N486" i="61"/>
  <c r="O486" i="61"/>
  <c r="P486" i="61"/>
  <c r="Q486" i="61"/>
  <c r="R486" i="61"/>
  <c r="S486" i="61"/>
  <c r="T486" i="61"/>
  <c r="U486" i="61"/>
  <c r="H486" i="61"/>
  <c r="I486" i="61"/>
  <c r="J486" i="61"/>
  <c r="R17" i="25"/>
  <c r="S439" i="61" l="1"/>
  <c r="S441" i="61" s="1"/>
  <c r="R21" i="25"/>
  <c r="R23" i="25"/>
  <c r="R24" i="25"/>
  <c r="P174" i="61"/>
  <c r="O217" i="64"/>
  <c r="O86" i="64" s="1"/>
  <c r="M224" i="64"/>
  <c r="O410" i="64"/>
  <c r="O55" i="64" s="1"/>
  <c r="R412" i="64"/>
  <c r="R413" i="64" s="1"/>
  <c r="R407" i="64" s="1"/>
  <c r="R408" i="64" s="1"/>
  <c r="R377" i="64"/>
  <c r="R375" i="64"/>
  <c r="R337" i="64"/>
  <c r="R74" i="64"/>
  <c r="R203" i="64"/>
  <c r="L121" i="64"/>
  <c r="L58" i="64"/>
  <c r="N526" i="64"/>
  <c r="M527" i="64"/>
  <c r="M528" i="64" s="1"/>
  <c r="R350" i="64"/>
  <c r="R354" i="64" s="1"/>
  <c r="R92" i="64" s="1"/>
  <c r="S69" i="64"/>
  <c r="M120" i="64"/>
  <c r="M99" i="64"/>
  <c r="P197" i="64"/>
  <c r="Q488" i="64"/>
  <c r="Q501" i="64"/>
  <c r="R7" i="25"/>
  <c r="J383" i="61"/>
  <c r="J385" i="61" s="1"/>
  <c r="Q29" i="61"/>
  <c r="Q30" i="61" s="1"/>
  <c r="Q27" i="61" s="1"/>
  <c r="R250" i="61"/>
  <c r="T247" i="61"/>
  <c r="S248" i="61"/>
  <c r="S249" i="61"/>
  <c r="U26" i="61"/>
  <c r="T440" i="61"/>
  <c r="T438" i="61" s="1"/>
  <c r="K381" i="61"/>
  <c r="K382" i="61"/>
  <c r="O193" i="61"/>
  <c r="O192" i="61" s="1"/>
  <c r="S510" i="61"/>
  <c r="S467" i="61"/>
  <c r="S109" i="61" s="1"/>
  <c r="I386" i="61"/>
  <c r="T285" i="61"/>
  <c r="U228" i="61"/>
  <c r="R441" i="61"/>
  <c r="P27" i="61"/>
  <c r="P191" i="61" s="1"/>
  <c r="R184" i="61"/>
  <c r="M27" i="25"/>
  <c r="L486" i="61"/>
  <c r="S24" i="25" l="1"/>
  <c r="T24" i="25" s="1"/>
  <c r="U24" i="25" s="1"/>
  <c r="V24" i="25" s="1"/>
  <c r="W24" i="25" s="1"/>
  <c r="X24" i="25" s="1"/>
  <c r="Y24" i="25" s="1"/>
  <c r="Z24" i="25" s="1"/>
  <c r="AA24" i="25" s="1"/>
  <c r="AB24" i="25" s="1"/>
  <c r="K369" i="61"/>
  <c r="K322" i="61" s="1"/>
  <c r="K323" i="61" s="1"/>
  <c r="S23" i="25"/>
  <c r="T23" i="25" s="1"/>
  <c r="U23" i="25" s="1"/>
  <c r="V23" i="25" s="1"/>
  <c r="W23" i="25" s="1"/>
  <c r="X23" i="25" s="1"/>
  <c r="Y23" i="25" s="1"/>
  <c r="Z23" i="25" s="1"/>
  <c r="AA23" i="25" s="1"/>
  <c r="AB23" i="25" s="1"/>
  <c r="K368" i="61"/>
  <c r="K262" i="61" s="1"/>
  <c r="S21" i="25"/>
  <c r="T21" i="25" s="1"/>
  <c r="U21" i="25" s="1"/>
  <c r="V21" i="25" s="1"/>
  <c r="W21" i="25" s="1"/>
  <c r="X21" i="25" s="1"/>
  <c r="Y21" i="25" s="1"/>
  <c r="Z21" i="25" s="1"/>
  <c r="AA21" i="25" s="1"/>
  <c r="AB21" i="25" s="1"/>
  <c r="K366" i="61"/>
  <c r="K148" i="61" s="1"/>
  <c r="K149" i="61" s="1"/>
  <c r="Q191" i="61"/>
  <c r="Q174" i="61"/>
  <c r="Q173" i="61"/>
  <c r="K324" i="61"/>
  <c r="K327" i="61" s="1"/>
  <c r="P190" i="61"/>
  <c r="Q190" i="61" s="1"/>
  <c r="O411" i="64"/>
  <c r="P417" i="64"/>
  <c r="P415" i="64" s="1"/>
  <c r="O37" i="64"/>
  <c r="O100" i="64" s="1"/>
  <c r="O40" i="64"/>
  <c r="O104" i="64" s="1"/>
  <c r="M59" i="64"/>
  <c r="M71" i="64"/>
  <c r="M52" i="64"/>
  <c r="M530" i="64"/>
  <c r="M44" i="64" s="1"/>
  <c r="R508" i="64"/>
  <c r="R513" i="64" s="1"/>
  <c r="R213" i="64"/>
  <c r="S196" i="64" s="1"/>
  <c r="M68" i="64"/>
  <c r="M529" i="64"/>
  <c r="M45" i="64" s="1"/>
  <c r="R338" i="64"/>
  <c r="M101" i="64"/>
  <c r="M102" i="64" s="1"/>
  <c r="M532" i="64"/>
  <c r="R483" i="64"/>
  <c r="P200" i="64"/>
  <c r="S376" i="64"/>
  <c r="S406" i="64"/>
  <c r="S335" i="64"/>
  <c r="S380" i="64"/>
  <c r="S383" i="64" s="1"/>
  <c r="S386" i="64" s="1"/>
  <c r="S94" i="64" s="1"/>
  <c r="S348" i="64"/>
  <c r="S420" i="64"/>
  <c r="S422" i="64" s="1"/>
  <c r="S357" i="64"/>
  <c r="S359" i="64" s="1"/>
  <c r="S363" i="64" s="1"/>
  <c r="N480" i="64"/>
  <c r="S414" i="64"/>
  <c r="R27" i="25"/>
  <c r="G486" i="61"/>
  <c r="S250" i="61"/>
  <c r="S184" i="61"/>
  <c r="R487" i="61"/>
  <c r="R96" i="61"/>
  <c r="R29" i="61"/>
  <c r="S487" i="61"/>
  <c r="S96" i="61"/>
  <c r="J386" i="61"/>
  <c r="T510" i="61"/>
  <c r="T467" i="61"/>
  <c r="T109" i="61" s="1"/>
  <c r="U440" i="61"/>
  <c r="U438" i="61" s="1"/>
  <c r="T439" i="61"/>
  <c r="T441" i="61" s="1"/>
  <c r="U247" i="61"/>
  <c r="T249" i="61"/>
  <c r="T248" i="61"/>
  <c r="U285" i="61"/>
  <c r="K383" i="61"/>
  <c r="K385" i="61" s="1"/>
  <c r="K157" i="61" l="1"/>
  <c r="K158" i="61" s="1"/>
  <c r="K150" i="61"/>
  <c r="K154" i="61" s="1"/>
  <c r="K265" i="61"/>
  <c r="K266" i="61"/>
  <c r="K315" i="61"/>
  <c r="K370" i="61"/>
  <c r="K328" i="61"/>
  <c r="O111" i="64"/>
  <c r="O112" i="64" s="1"/>
  <c r="P205" i="64"/>
  <c r="P215" i="64" s="1"/>
  <c r="Q198" i="64" s="1"/>
  <c r="P204" i="64"/>
  <c r="P214" i="64" s="1"/>
  <c r="O91" i="64"/>
  <c r="O97" i="64" s="1"/>
  <c r="N220" i="64"/>
  <c r="N482" i="64"/>
  <c r="N500" i="64"/>
  <c r="N533" i="64"/>
  <c r="M49" i="64"/>
  <c r="M46" i="64"/>
  <c r="M47" i="64"/>
  <c r="S412" i="64"/>
  <c r="S413" i="64" s="1"/>
  <c r="S407" i="64" s="1"/>
  <c r="T414" i="64" s="1"/>
  <c r="S377" i="64"/>
  <c r="R488" i="64"/>
  <c r="R501" i="64"/>
  <c r="M60" i="64"/>
  <c r="M62" i="64" s="1"/>
  <c r="M70" i="64"/>
  <c r="M72" i="64" s="1"/>
  <c r="M75" i="64" s="1"/>
  <c r="R479" i="64"/>
  <c r="P416" i="64"/>
  <c r="P409" i="64" s="1"/>
  <c r="S350" i="64"/>
  <c r="S354" i="64" s="1"/>
  <c r="S92" i="64" s="1"/>
  <c r="T69" i="64"/>
  <c r="S203" i="64"/>
  <c r="S375" i="64"/>
  <c r="S337" i="64"/>
  <c r="S74" i="64"/>
  <c r="M534" i="64"/>
  <c r="T250" i="61"/>
  <c r="K386" i="61"/>
  <c r="U248" i="61"/>
  <c r="U249" i="61"/>
  <c r="U510" i="61"/>
  <c r="U467" i="61"/>
  <c r="R30" i="61"/>
  <c r="R173" i="61" s="1"/>
  <c r="T184" i="61"/>
  <c r="T487" i="61"/>
  <c r="T96" i="61"/>
  <c r="P193" i="61"/>
  <c r="P192" i="61" s="1"/>
  <c r="K165" i="61" l="1"/>
  <c r="K159" i="61"/>
  <c r="K162" i="61" s="1"/>
  <c r="K168" i="61" s="1"/>
  <c r="K314" i="61"/>
  <c r="L265" i="61"/>
  <c r="M265" i="61" s="1"/>
  <c r="N265" i="61" s="1"/>
  <c r="O265" i="61" s="1"/>
  <c r="P265" i="61" s="1"/>
  <c r="Q265" i="61" s="1"/>
  <c r="R265" i="61" s="1"/>
  <c r="S265" i="61" s="1"/>
  <c r="T265" i="61" s="1"/>
  <c r="U265" i="61" s="1"/>
  <c r="U109" i="61"/>
  <c r="U439" i="61"/>
  <c r="R174" i="61"/>
  <c r="K39" i="61"/>
  <c r="K104" i="61"/>
  <c r="P206" i="64"/>
  <c r="P105" i="64" s="1"/>
  <c r="P410" i="64"/>
  <c r="P411" i="64" s="1"/>
  <c r="M490" i="64"/>
  <c r="N238" i="64"/>
  <c r="S483" i="64"/>
  <c r="M67" i="64"/>
  <c r="M53" i="64" s="1"/>
  <c r="M54" i="64" s="1"/>
  <c r="M56" i="64" s="1"/>
  <c r="M535" i="64"/>
  <c r="M36" i="64" s="1"/>
  <c r="M536" i="64"/>
  <c r="M35" i="64" s="1"/>
  <c r="T203" i="64"/>
  <c r="N489" i="64"/>
  <c r="N492" i="64"/>
  <c r="P217" i="64"/>
  <c r="P86" i="64" s="1"/>
  <c r="Q197" i="64"/>
  <c r="T376" i="64"/>
  <c r="T335" i="64"/>
  <c r="T380" i="64"/>
  <c r="T383" i="64" s="1"/>
  <c r="T386" i="64" s="1"/>
  <c r="T94" i="64" s="1"/>
  <c r="T348" i="64"/>
  <c r="T357" i="64"/>
  <c r="T359" i="64" s="1"/>
  <c r="T363" i="64" s="1"/>
  <c r="T406" i="64"/>
  <c r="T420" i="64"/>
  <c r="T422" i="64" s="1"/>
  <c r="N87" i="64"/>
  <c r="S508" i="64"/>
  <c r="S513" i="64" s="1"/>
  <c r="S213" i="64"/>
  <c r="S338" i="64"/>
  <c r="S408" i="64"/>
  <c r="M64" i="64"/>
  <c r="M522" i="64"/>
  <c r="N506" i="64"/>
  <c r="N521" i="64" s="1"/>
  <c r="N503" i="64"/>
  <c r="U250" i="61"/>
  <c r="U184" i="61"/>
  <c r="S29" i="61"/>
  <c r="Q193" i="61"/>
  <c r="Q192" i="61" s="1"/>
  <c r="R27" i="61"/>
  <c r="R191" i="61" s="1"/>
  <c r="K166" i="61" l="1"/>
  <c r="K167" i="61" s="1"/>
  <c r="U441" i="61"/>
  <c r="P37" i="64"/>
  <c r="P111" i="64" s="1"/>
  <c r="P112" i="64" s="1"/>
  <c r="R190" i="61"/>
  <c r="P55" i="64"/>
  <c r="P40" i="64"/>
  <c r="P104" i="64" s="1"/>
  <c r="Q417" i="64"/>
  <c r="Q415" i="64" s="1"/>
  <c r="Q200" i="64"/>
  <c r="T508" i="64"/>
  <c r="T513" i="64" s="1"/>
  <c r="T213" i="64"/>
  <c r="T412" i="64"/>
  <c r="T413" i="64" s="1"/>
  <c r="T407" i="64" s="1"/>
  <c r="T377" i="64"/>
  <c r="N525" i="64"/>
  <c r="T350" i="64"/>
  <c r="T354" i="64" s="1"/>
  <c r="T92" i="64" s="1"/>
  <c r="U69" i="64"/>
  <c r="S488" i="64"/>
  <c r="S501" i="64"/>
  <c r="S479" i="64"/>
  <c r="T196" i="64"/>
  <c r="N223" i="64"/>
  <c r="N221" i="64"/>
  <c r="N222" i="64"/>
  <c r="N89" i="64"/>
  <c r="N90" i="64" s="1"/>
  <c r="T375" i="64"/>
  <c r="T337" i="64"/>
  <c r="T338" i="64" s="1"/>
  <c r="T74" i="64"/>
  <c r="N504" i="64"/>
  <c r="N497" i="64"/>
  <c r="N48" i="64"/>
  <c r="M38" i="64"/>
  <c r="M42" i="64" s="1"/>
  <c r="M43" i="64"/>
  <c r="S30" i="61"/>
  <c r="S173" i="61" s="1"/>
  <c r="U487" i="61" l="1"/>
  <c r="U96" i="61"/>
  <c r="P100" i="64"/>
  <c r="S174" i="61"/>
  <c r="P91" i="64"/>
  <c r="P97" i="64" s="1"/>
  <c r="Q205" i="64"/>
  <c r="Q215" i="64" s="1"/>
  <c r="R198" i="64" s="1"/>
  <c r="Q204" i="64"/>
  <c r="Q214" i="64" s="1"/>
  <c r="T483" i="64"/>
  <c r="U414" i="64"/>
  <c r="U203" i="64" s="1"/>
  <c r="T408" i="64"/>
  <c r="M121" i="64"/>
  <c r="M58" i="64"/>
  <c r="N120" i="64"/>
  <c r="N99" i="64"/>
  <c r="U196" i="64"/>
  <c r="T479" i="64"/>
  <c r="O526" i="64"/>
  <c r="N527" i="64"/>
  <c r="N528" i="64" s="1"/>
  <c r="U376" i="64"/>
  <c r="U335" i="64"/>
  <c r="U406" i="64"/>
  <c r="U380" i="64"/>
  <c r="U383" i="64" s="1"/>
  <c r="U386" i="64" s="1"/>
  <c r="U94" i="64" s="1"/>
  <c r="U357" i="64"/>
  <c r="U359" i="64" s="1"/>
  <c r="U363" i="64" s="1"/>
  <c r="U420" i="64"/>
  <c r="U422" i="64" s="1"/>
  <c r="U348" i="64"/>
  <c r="U350" i="64" s="1"/>
  <c r="U354" i="64" s="1"/>
  <c r="N224" i="64"/>
  <c r="Q416" i="64"/>
  <c r="Q410" i="64" s="1"/>
  <c r="T29" i="61"/>
  <c r="T30" i="61" s="1"/>
  <c r="T173" i="61" s="1"/>
  <c r="S27" i="61"/>
  <c r="R193" i="61"/>
  <c r="R192" i="61" s="1"/>
  <c r="S190" i="61" l="1"/>
  <c r="S191" i="61"/>
  <c r="T174" i="61"/>
  <c r="Q206" i="64"/>
  <c r="Q105" i="64" s="1"/>
  <c r="Q217" i="64"/>
  <c r="Q86" i="64" s="1"/>
  <c r="Q37" i="64"/>
  <c r="Q40" i="64"/>
  <c r="Q55" i="64"/>
  <c r="N59" i="64"/>
  <c r="N71" i="64"/>
  <c r="N52" i="64"/>
  <c r="N530" i="64"/>
  <c r="N44" i="64" s="1"/>
  <c r="Q409" i="64"/>
  <c r="N68" i="64"/>
  <c r="N529" i="64"/>
  <c r="N45" i="64" s="1"/>
  <c r="R197" i="64"/>
  <c r="U92" i="64"/>
  <c r="U377" i="64"/>
  <c r="U412" i="64"/>
  <c r="U413" i="64" s="1"/>
  <c r="U407" i="64" s="1"/>
  <c r="O480" i="64"/>
  <c r="N101" i="64"/>
  <c r="N102" i="64" s="1"/>
  <c r="N532" i="64"/>
  <c r="N534" i="64" s="1"/>
  <c r="U508" i="64"/>
  <c r="U513" i="64" s="1"/>
  <c r="U213" i="64"/>
  <c r="U375" i="64"/>
  <c r="U337" i="64"/>
  <c r="U74" i="64"/>
  <c r="T488" i="64"/>
  <c r="T501" i="64"/>
  <c r="T27" i="61"/>
  <c r="U29" i="61"/>
  <c r="T190" i="61" l="1"/>
  <c r="U30" i="61"/>
  <c r="U174" i="61" s="1"/>
  <c r="T191" i="61"/>
  <c r="N47" i="64"/>
  <c r="U483" i="64"/>
  <c r="U408" i="64"/>
  <c r="N60" i="64"/>
  <c r="N62" i="64" s="1"/>
  <c r="N70" i="64"/>
  <c r="N72" i="64" s="1"/>
  <c r="N75" i="64" s="1"/>
  <c r="U338" i="64"/>
  <c r="O220" i="64"/>
  <c r="O482" i="64"/>
  <c r="O500" i="64"/>
  <c r="N67" i="64"/>
  <c r="N53" i="64" s="1"/>
  <c r="N54" i="64" s="1"/>
  <c r="N56" i="64" s="1"/>
  <c r="N535" i="64"/>
  <c r="N36" i="64" s="1"/>
  <c r="R200" i="64"/>
  <c r="Q411" i="64"/>
  <c r="R417" i="64"/>
  <c r="Q104" i="64"/>
  <c r="O533" i="64"/>
  <c r="U479" i="64"/>
  <c r="N49" i="64"/>
  <c r="N46" i="64"/>
  <c r="N536" i="64"/>
  <c r="N35" i="64" s="1"/>
  <c r="Q100" i="64"/>
  <c r="Q111" i="64"/>
  <c r="Q112" i="64" s="1"/>
  <c r="S193" i="61"/>
  <c r="S192" i="61" s="1"/>
  <c r="U173" i="61" l="1"/>
  <c r="U27" i="61"/>
  <c r="N490" i="64"/>
  <c r="O238" i="64"/>
  <c r="N43" i="64"/>
  <c r="N38" i="64"/>
  <c r="N42" i="64" s="1"/>
  <c r="N64" i="64"/>
  <c r="N522" i="64"/>
  <c r="O87" i="64"/>
  <c r="R415" i="64"/>
  <c r="R204" i="64"/>
  <c r="R205" i="64"/>
  <c r="O506" i="64"/>
  <c r="O521" i="64" s="1"/>
  <c r="O503" i="64"/>
  <c r="O504" i="64" s="1"/>
  <c r="Q91" i="64"/>
  <c r="Q97" i="64" s="1"/>
  <c r="O492" i="64"/>
  <c r="O489" i="64"/>
  <c r="U488" i="64"/>
  <c r="U501" i="64"/>
  <c r="T193" i="61"/>
  <c r="T192" i="61" s="1"/>
  <c r="U190" i="61" l="1"/>
  <c r="U191" i="61"/>
  <c r="O497" i="64"/>
  <c r="O48" i="64"/>
  <c r="R416" i="64"/>
  <c r="R410" i="64" s="1"/>
  <c r="R215" i="64"/>
  <c r="S198" i="64" s="1"/>
  <c r="O223" i="64"/>
  <c r="O221" i="64"/>
  <c r="O222" i="64"/>
  <c r="O89" i="64"/>
  <c r="O90" i="64" s="1"/>
  <c r="O525" i="64"/>
  <c r="R214" i="64"/>
  <c r="R206" i="64"/>
  <c r="R105" i="64" s="1"/>
  <c r="N121" i="64"/>
  <c r="N58" i="64"/>
  <c r="U193" i="61" l="1"/>
  <c r="U192" i="61" s="1"/>
  <c r="R217" i="64"/>
  <c r="R86" i="64" s="1"/>
  <c r="R409" i="64"/>
  <c r="R411" i="64" s="1"/>
  <c r="O120" i="64"/>
  <c r="O99" i="64"/>
  <c r="R40" i="64"/>
  <c r="R55" i="64"/>
  <c r="R37" i="64"/>
  <c r="P526" i="64"/>
  <c r="O527" i="64"/>
  <c r="O528" i="64" s="1"/>
  <c r="O224" i="64"/>
  <c r="S197" i="64"/>
  <c r="S417" i="64" l="1"/>
  <c r="S204" i="64" s="1"/>
  <c r="O101" i="64"/>
  <c r="O102" i="64" s="1"/>
  <c r="O532" i="64"/>
  <c r="O534" i="64" s="1"/>
  <c r="R91" i="64"/>
  <c r="R97" i="64" s="1"/>
  <c r="O71" i="64"/>
  <c r="O59" i="64"/>
  <c r="O52" i="64"/>
  <c r="O530" i="64"/>
  <c r="O44" i="64" s="1"/>
  <c r="R100" i="64"/>
  <c r="R111" i="64"/>
  <c r="R112" i="64" s="1"/>
  <c r="P480" i="64"/>
  <c r="R104" i="64"/>
  <c r="S200" i="64"/>
  <c r="O68" i="64"/>
  <c r="O529" i="64"/>
  <c r="O45" i="64" s="1"/>
  <c r="S415" i="64" l="1"/>
  <c r="S416" i="64" s="1"/>
  <c r="S409" i="64" s="1"/>
  <c r="S205" i="64"/>
  <c r="S206" i="64" s="1"/>
  <c r="S105" i="64" s="1"/>
  <c r="O47" i="64"/>
  <c r="O67" i="64"/>
  <c r="O53" i="64" s="1"/>
  <c r="O54" i="64" s="1"/>
  <c r="O56" i="64" s="1"/>
  <c r="O535" i="64"/>
  <c r="O36" i="64" s="1"/>
  <c r="S214" i="64"/>
  <c r="P220" i="64"/>
  <c r="P500" i="64"/>
  <c r="P482" i="64"/>
  <c r="O46" i="64"/>
  <c r="O49" i="64"/>
  <c r="P533" i="64"/>
  <c r="O60" i="64"/>
  <c r="O62" i="64" s="1"/>
  <c r="O70" i="64"/>
  <c r="O72" i="64" s="1"/>
  <c r="O75" i="64" s="1"/>
  <c r="O536" i="64"/>
  <c r="O35" i="64" s="1"/>
  <c r="S215" i="64" l="1"/>
  <c r="T198" i="64" s="1"/>
  <c r="O490" i="64"/>
  <c r="P238" i="64"/>
  <c r="P87" i="64"/>
  <c r="S410" i="64"/>
  <c r="T417" i="64" s="1"/>
  <c r="O64" i="64"/>
  <c r="O522" i="64"/>
  <c r="P506" i="64"/>
  <c r="P521" i="64" s="1"/>
  <c r="P503" i="64"/>
  <c r="P504" i="64" s="1"/>
  <c r="P492" i="64"/>
  <c r="P489" i="64"/>
  <c r="O38" i="64"/>
  <c r="O42" i="64" s="1"/>
  <c r="O43" i="64"/>
  <c r="T197" i="64"/>
  <c r="S217" i="64" l="1"/>
  <c r="S86" i="64" s="1"/>
  <c r="T415" i="64"/>
  <c r="T204" i="64"/>
  <c r="T205" i="64"/>
  <c r="T200" i="64"/>
  <c r="O121" i="64"/>
  <c r="O58" i="64"/>
  <c r="P525" i="64"/>
  <c r="P497" i="64"/>
  <c r="P48" i="64"/>
  <c r="P221" i="64"/>
  <c r="P222" i="64"/>
  <c r="P223" i="64"/>
  <c r="P89" i="64"/>
  <c r="P90" i="64" s="1"/>
  <c r="S55" i="64"/>
  <c r="S37" i="64"/>
  <c r="S40" i="64"/>
  <c r="S411" i="64"/>
  <c r="T215" i="64" l="1"/>
  <c r="U198" i="64" s="1"/>
  <c r="S100" i="64"/>
  <c r="S111" i="64"/>
  <c r="S112" i="64" s="1"/>
  <c r="S91" i="64"/>
  <c r="S97" i="64" s="1"/>
  <c r="P224" i="64"/>
  <c r="Q526" i="64"/>
  <c r="P527" i="64"/>
  <c r="T214" i="64"/>
  <c r="T206" i="64"/>
  <c r="T105" i="64" s="1"/>
  <c r="S104" i="64"/>
  <c r="P120" i="64"/>
  <c r="P99" i="64"/>
  <c r="T416" i="64"/>
  <c r="T409" i="64" s="1"/>
  <c r="T410" i="64" l="1"/>
  <c r="P68" i="64"/>
  <c r="T217" i="64"/>
  <c r="T86" i="64" s="1"/>
  <c r="U197" i="64"/>
  <c r="U200" i="64" s="1"/>
  <c r="Q480" i="64"/>
  <c r="P101" i="64"/>
  <c r="P102" i="64" s="1"/>
  <c r="P532" i="64"/>
  <c r="P528" i="64"/>
  <c r="P529" i="64" s="1"/>
  <c r="P45" i="64" s="1"/>
  <c r="P49" i="64" l="1"/>
  <c r="T37" i="64"/>
  <c r="T55" i="64"/>
  <c r="T40" i="64"/>
  <c r="Q533" i="64"/>
  <c r="P60" i="64"/>
  <c r="P70" i="64"/>
  <c r="U417" i="64"/>
  <c r="P71" i="64"/>
  <c r="P59" i="64"/>
  <c r="P52" i="64"/>
  <c r="P530" i="64"/>
  <c r="P44" i="64" s="1"/>
  <c r="P47" i="64" s="1"/>
  <c r="Q220" i="64"/>
  <c r="Q482" i="64"/>
  <c r="Q500" i="64"/>
  <c r="P534" i="64"/>
  <c r="T411" i="64"/>
  <c r="Q506" i="64" l="1"/>
  <c r="Q521" i="64" s="1"/>
  <c r="Q503" i="64"/>
  <c r="Q87" i="64"/>
  <c r="Q489" i="64"/>
  <c r="Q492" i="64"/>
  <c r="U415" i="64"/>
  <c r="U205" i="64"/>
  <c r="U215" i="64" s="1"/>
  <c r="U204" i="64"/>
  <c r="T91" i="64"/>
  <c r="T97" i="64" s="1"/>
  <c r="P62" i="64"/>
  <c r="T104" i="64"/>
  <c r="P46" i="64"/>
  <c r="T100" i="64"/>
  <c r="T111" i="64"/>
  <c r="T112" i="64" s="1"/>
  <c r="P67" i="64"/>
  <c r="P53" i="64" s="1"/>
  <c r="P54" i="64" s="1"/>
  <c r="P56" i="64" s="1"/>
  <c r="P535" i="64"/>
  <c r="P36" i="64" s="1"/>
  <c r="P536" i="64"/>
  <c r="P35" i="64" s="1"/>
  <c r="P72" i="64"/>
  <c r="P75" i="64" s="1"/>
  <c r="P38" i="64" l="1"/>
  <c r="P42" i="64" s="1"/>
  <c r="P43" i="64"/>
  <c r="P64" i="64"/>
  <c r="P522" i="64"/>
  <c r="U214" i="64"/>
  <c r="U217" i="64" s="1"/>
  <c r="U86" i="64" s="1"/>
  <c r="U206" i="64"/>
  <c r="U105" i="64" s="1"/>
  <c r="Q497" i="64"/>
  <c r="Q48" i="64"/>
  <c r="Q525" i="64"/>
  <c r="Q221" i="64"/>
  <c r="Q222" i="64"/>
  <c r="Q223" i="64"/>
  <c r="Q89" i="64"/>
  <c r="Q90" i="64" s="1"/>
  <c r="P490" i="64"/>
  <c r="Q238" i="64"/>
  <c r="U416" i="64"/>
  <c r="U410" i="64" s="1"/>
  <c r="Q504" i="64"/>
  <c r="U409" i="64" l="1"/>
  <c r="U411" i="64" s="1"/>
  <c r="Q120" i="64"/>
  <c r="Q99" i="64"/>
  <c r="U37" i="64"/>
  <c r="U40" i="64"/>
  <c r="U55" i="64"/>
  <c r="R526" i="64"/>
  <c r="Q527" i="64"/>
  <c r="Q528" i="64" s="1"/>
  <c r="Q224" i="64"/>
  <c r="P121" i="64"/>
  <c r="P58" i="64"/>
  <c r="U91" i="64" l="1"/>
  <c r="U97" i="64" s="1"/>
  <c r="Q59" i="64"/>
  <c r="Q71" i="64"/>
  <c r="Q52" i="64"/>
  <c r="Q530" i="64"/>
  <c r="Q44" i="64" s="1"/>
  <c r="Q101" i="64"/>
  <c r="Q102" i="64" s="1"/>
  <c r="Q532" i="64"/>
  <c r="Q534" i="64" s="1"/>
  <c r="R480" i="64"/>
  <c r="U100" i="64"/>
  <c r="U111" i="64"/>
  <c r="U112" i="64" s="1"/>
  <c r="Q68" i="64"/>
  <c r="Q529" i="64"/>
  <c r="Q45" i="64" s="1"/>
  <c r="U104" i="64"/>
  <c r="Q67" i="64" l="1"/>
  <c r="Q53" i="64" s="1"/>
  <c r="Q54" i="64" s="1"/>
  <c r="Q56" i="64" s="1"/>
  <c r="Q535" i="64"/>
  <c r="Q36" i="64" s="1"/>
  <c r="Q536" i="64"/>
  <c r="Q35" i="64" s="1"/>
  <c r="Q49" i="64"/>
  <c r="Q46" i="64"/>
  <c r="Q60" i="64"/>
  <c r="Q62" i="64" s="1"/>
  <c r="Q70" i="64"/>
  <c r="Q72" i="64" s="1"/>
  <c r="Q75" i="64" s="1"/>
  <c r="R220" i="64"/>
  <c r="R482" i="64"/>
  <c r="R500" i="64"/>
  <c r="Q47" i="64"/>
  <c r="R533" i="64"/>
  <c r="R506" i="64" l="1"/>
  <c r="R521" i="64" s="1"/>
  <c r="R503" i="64"/>
  <c r="R87" i="64"/>
  <c r="R489" i="64"/>
  <c r="R492" i="64"/>
  <c r="Q38" i="64"/>
  <c r="Q42" i="64" s="1"/>
  <c r="Q43" i="64"/>
  <c r="Q490" i="64"/>
  <c r="R238" i="64"/>
  <c r="Q64" i="64"/>
  <c r="Q522" i="64"/>
  <c r="Q121" i="64" l="1"/>
  <c r="Q58" i="64"/>
  <c r="R497" i="64"/>
  <c r="R48" i="64"/>
  <c r="R525" i="64"/>
  <c r="R221" i="64"/>
  <c r="R222" i="64"/>
  <c r="R223" i="64"/>
  <c r="R89" i="64"/>
  <c r="R90" i="64" s="1"/>
  <c r="R504" i="64"/>
  <c r="R224" i="64" l="1"/>
  <c r="R120" i="64"/>
  <c r="R99" i="64"/>
  <c r="S526" i="64"/>
  <c r="R527" i="64"/>
  <c r="R68" i="64" l="1"/>
  <c r="R101" i="64"/>
  <c r="R102" i="64" s="1"/>
  <c r="R532" i="64"/>
  <c r="S480" i="64"/>
  <c r="R528" i="64"/>
  <c r="R529" i="64" s="1"/>
  <c r="R45" i="64" s="1"/>
  <c r="R49" i="64" l="1"/>
  <c r="R60" i="64"/>
  <c r="R70" i="64"/>
  <c r="S220" i="64"/>
  <c r="S500" i="64"/>
  <c r="S482" i="64"/>
  <c r="R59" i="64"/>
  <c r="R71" i="64"/>
  <c r="R52" i="64"/>
  <c r="R530" i="64"/>
  <c r="R44" i="64" s="1"/>
  <c r="R47" i="64" s="1"/>
  <c r="S533" i="64"/>
  <c r="R534" i="64"/>
  <c r="R536" i="64" s="1"/>
  <c r="R35" i="64" s="1"/>
  <c r="S492" i="64" l="1"/>
  <c r="S489" i="64"/>
  <c r="R62" i="64"/>
  <c r="R67" i="64"/>
  <c r="R53" i="64" s="1"/>
  <c r="R54" i="64" s="1"/>
  <c r="R56" i="64" s="1"/>
  <c r="R535" i="64"/>
  <c r="R36" i="64" s="1"/>
  <c r="S506" i="64"/>
  <c r="S521" i="64" s="1"/>
  <c r="S503" i="64"/>
  <c r="R46" i="64"/>
  <c r="S87" i="64"/>
  <c r="R72" i="64"/>
  <c r="R75" i="64" s="1"/>
  <c r="R490" i="64" l="1"/>
  <c r="S238" i="64"/>
  <c r="S525" i="64"/>
  <c r="S221" i="64"/>
  <c r="S222" i="64"/>
  <c r="S223" i="64"/>
  <c r="S89" i="64"/>
  <c r="S90" i="64" s="1"/>
  <c r="S504" i="64"/>
  <c r="S497" i="64"/>
  <c r="S48" i="64"/>
  <c r="R64" i="64"/>
  <c r="R522" i="64"/>
  <c r="R43" i="64"/>
  <c r="R38" i="64"/>
  <c r="R42" i="64" s="1"/>
  <c r="C1" i="48"/>
  <c r="T526" i="64" l="1"/>
  <c r="S527" i="64"/>
  <c r="S528" i="64" s="1"/>
  <c r="S224" i="64"/>
  <c r="R121" i="64"/>
  <c r="R58" i="64"/>
  <c r="R7" i="64"/>
  <c r="R8" i="64" s="1"/>
  <c r="N7" i="64"/>
  <c r="N8" i="64" s="1"/>
  <c r="J7" i="64"/>
  <c r="J8" i="64" s="1"/>
  <c r="F7" i="64"/>
  <c r="F8" i="64" s="1"/>
  <c r="L7" i="64"/>
  <c r="L8" i="64" s="1"/>
  <c r="Q7" i="64"/>
  <c r="Q8" i="64" s="1"/>
  <c r="M7" i="64"/>
  <c r="M8" i="64" s="1"/>
  <c r="I7" i="64"/>
  <c r="I8" i="64" s="1"/>
  <c r="E7" i="64"/>
  <c r="E8" i="64" s="1"/>
  <c r="H7" i="64"/>
  <c r="H8" i="64" s="1"/>
  <c r="P7" i="64"/>
  <c r="P8" i="64" s="1"/>
  <c r="D7" i="64"/>
  <c r="D8" i="64" s="1"/>
  <c r="O7" i="64"/>
  <c r="O8" i="64" s="1"/>
  <c r="K7" i="64"/>
  <c r="K8" i="64" s="1"/>
  <c r="G7" i="64"/>
  <c r="G8" i="64" s="1"/>
  <c r="S120" i="64"/>
  <c r="S99" i="64"/>
  <c r="F7" i="61"/>
  <c r="F8" i="61" s="1"/>
  <c r="E7" i="61"/>
  <c r="E8" i="61" s="1"/>
  <c r="D7" i="61"/>
  <c r="D8" i="61" s="1"/>
  <c r="S71" i="64" l="1"/>
  <c r="S59" i="64"/>
  <c r="S52" i="64"/>
  <c r="S530" i="64"/>
  <c r="S44" i="64" s="1"/>
  <c r="S101" i="64"/>
  <c r="S102" i="64" s="1"/>
  <c r="S532" i="64"/>
  <c r="S534" i="64" s="1"/>
  <c r="S68" i="64"/>
  <c r="S529" i="64"/>
  <c r="S45" i="64" s="1"/>
  <c r="T480" i="64"/>
  <c r="D223" i="32"/>
  <c r="E223" i="32"/>
  <c r="F223" i="32"/>
  <c r="G223" i="32"/>
  <c r="H223" i="32"/>
  <c r="I223" i="32"/>
  <c r="J223" i="32"/>
  <c r="K223" i="32"/>
  <c r="L223" i="32"/>
  <c r="M223" i="32"/>
  <c r="N223" i="32"/>
  <c r="O223" i="32"/>
  <c r="P223" i="32"/>
  <c r="Q223" i="32"/>
  <c r="R223" i="32"/>
  <c r="S223" i="32"/>
  <c r="T223" i="32"/>
  <c r="U223" i="32"/>
  <c r="V223" i="32"/>
  <c r="W223" i="32"/>
  <c r="X223" i="32"/>
  <c r="Y223" i="32"/>
  <c r="Z223" i="32"/>
  <c r="AA223" i="32"/>
  <c r="AB223" i="32"/>
  <c r="AC223" i="32"/>
  <c r="AD223" i="32"/>
  <c r="AE223" i="32"/>
  <c r="AF223" i="32"/>
  <c r="AG223" i="32"/>
  <c r="AH223" i="32"/>
  <c r="AI223" i="32"/>
  <c r="AJ223" i="32"/>
  <c r="AK223" i="32"/>
  <c r="AL223" i="32"/>
  <c r="AM223" i="32"/>
  <c r="AN223" i="32"/>
  <c r="AO223" i="32"/>
  <c r="AP223" i="32"/>
  <c r="AQ223" i="32"/>
  <c r="AR223" i="32"/>
  <c r="AS223" i="32"/>
  <c r="AT223" i="32"/>
  <c r="AU223" i="32"/>
  <c r="AV223" i="32"/>
  <c r="AW223" i="32"/>
  <c r="AX223" i="32"/>
  <c r="AY223" i="32"/>
  <c r="AZ223" i="32"/>
  <c r="BA223" i="32"/>
  <c r="BB223" i="32"/>
  <c r="BC223" i="32"/>
  <c r="BD223" i="32"/>
  <c r="BE223" i="32"/>
  <c r="BF223" i="32"/>
  <c r="BG223" i="32"/>
  <c r="BH223" i="32"/>
  <c r="BI223" i="32"/>
  <c r="BJ223" i="32"/>
  <c r="BK223" i="32"/>
  <c r="BL223" i="32"/>
  <c r="C223" i="32"/>
  <c r="S47" i="64" l="1"/>
  <c r="S67" i="64"/>
  <c r="S53" i="64" s="1"/>
  <c r="S54" i="64" s="1"/>
  <c r="S56" i="64" s="1"/>
  <c r="S535" i="64"/>
  <c r="S36" i="64" s="1"/>
  <c r="T533" i="64"/>
  <c r="S46" i="64"/>
  <c r="S49" i="64"/>
  <c r="T220" i="64"/>
  <c r="T500" i="64"/>
  <c r="T482" i="64"/>
  <c r="S60" i="64"/>
  <c r="S62" i="64" s="1"/>
  <c r="S70" i="64"/>
  <c r="S72" i="64" s="1"/>
  <c r="S75" i="64" s="1"/>
  <c r="S536" i="64"/>
  <c r="S35" i="64" s="1"/>
  <c r="D10" i="17"/>
  <c r="L44" i="17"/>
  <c r="L395" i="61"/>
  <c r="BA76" i="41"/>
  <c r="BA216" i="41" s="1"/>
  <c r="F76" i="41"/>
  <c r="F216" i="41" s="1"/>
  <c r="G76" i="41"/>
  <c r="G216" i="41" s="1"/>
  <c r="K76" i="41"/>
  <c r="K216" i="41" s="1"/>
  <c r="P76" i="41"/>
  <c r="P216" i="41" s="1"/>
  <c r="X76" i="41"/>
  <c r="X216" i="41" s="1"/>
  <c r="AB76" i="41"/>
  <c r="AB216" i="41" s="1"/>
  <c r="AF76" i="41"/>
  <c r="AF216" i="41" s="1"/>
  <c r="AJ76" i="41"/>
  <c r="AJ216" i="41" s="1"/>
  <c r="AN76" i="41"/>
  <c r="AN216" i="41" s="1"/>
  <c r="AQ76" i="41"/>
  <c r="AQ216" i="41" s="1"/>
  <c r="AR76" i="41"/>
  <c r="AR216" i="41" s="1"/>
  <c r="AV76" i="41"/>
  <c r="AV216" i="41" s="1"/>
  <c r="AW76" i="41"/>
  <c r="AW216" i="41" s="1"/>
  <c r="G6" i="41"/>
  <c r="G8" i="41" s="1"/>
  <c r="H6" i="41"/>
  <c r="H8" i="41" s="1"/>
  <c r="K146" i="41"/>
  <c r="K286" i="41" s="1"/>
  <c r="L6" i="41"/>
  <c r="O146" i="41"/>
  <c r="O286" i="41" s="1"/>
  <c r="R6" i="41"/>
  <c r="S6" i="41"/>
  <c r="T6" i="41"/>
  <c r="T8" i="41" s="1"/>
  <c r="W146" i="41"/>
  <c r="W286" i="41" s="1"/>
  <c r="AE6" i="41"/>
  <c r="AI146" i="41"/>
  <c r="AI286" i="41" s="1"/>
  <c r="AM146" i="41"/>
  <c r="AM286" i="41" s="1"/>
  <c r="AQ6" i="41"/>
  <c r="AU6" i="41"/>
  <c r="AY146" i="41"/>
  <c r="AY286" i="41" s="1"/>
  <c r="BC146" i="41"/>
  <c r="BC286" i="41" s="1"/>
  <c r="BD6" i="41"/>
  <c r="AV146" i="41"/>
  <c r="AV286" i="41" s="1"/>
  <c r="X146" i="41"/>
  <c r="X286" i="41" s="1"/>
  <c r="AX6" i="41"/>
  <c r="E146" i="41"/>
  <c r="E286" i="41" s="1"/>
  <c r="AP146" i="41"/>
  <c r="AP286" i="41" s="1"/>
  <c r="BD146" i="41"/>
  <c r="BD286" i="41" s="1"/>
  <c r="AF146" i="41"/>
  <c r="AF286" i="41" s="1"/>
  <c r="H146" i="41"/>
  <c r="H286" i="41" s="1"/>
  <c r="Z146" i="41"/>
  <c r="Z286" i="41" s="1"/>
  <c r="O6" i="41"/>
  <c r="J146" i="41"/>
  <c r="J286" i="41" s="1"/>
  <c r="AZ6" i="41"/>
  <c r="M6" i="41"/>
  <c r="U6" i="41"/>
  <c r="AK146" i="41"/>
  <c r="AK286" i="41" s="1"/>
  <c r="AS6" i="41"/>
  <c r="AS8" i="41" s="1"/>
  <c r="BA6" i="41"/>
  <c r="AN146" i="41"/>
  <c r="AN286" i="41" s="1"/>
  <c r="AJ146" i="41"/>
  <c r="AJ286" i="41" s="1"/>
  <c r="T146" i="41"/>
  <c r="T286" i="41" s="1"/>
  <c r="P146" i="41"/>
  <c r="P286" i="41" s="1"/>
  <c r="AP6" i="41"/>
  <c r="AP8" i="41" s="1"/>
  <c r="AH6" i="41"/>
  <c r="AH8" i="41" s="1"/>
  <c r="J6" i="41"/>
  <c r="J8" i="41" s="1"/>
  <c r="BD76" i="41"/>
  <c r="BD216" i="41" s="1"/>
  <c r="BB76" i="41"/>
  <c r="BB216" i="41" s="1"/>
  <c r="AZ76" i="41"/>
  <c r="AZ216" i="41" s="1"/>
  <c r="AX76" i="41"/>
  <c r="AX216" i="41" s="1"/>
  <c r="AT76" i="41"/>
  <c r="AT216" i="41" s="1"/>
  <c r="AO76" i="41"/>
  <c r="AO216" i="41" s="1"/>
  <c r="AM6" i="41"/>
  <c r="AL76" i="41"/>
  <c r="AL216" i="41" s="1"/>
  <c r="AK76" i="41"/>
  <c r="AK216" i="41" s="1"/>
  <c r="AH76" i="41"/>
  <c r="AH216" i="41" s="1"/>
  <c r="AG76" i="41"/>
  <c r="AG216" i="41" s="1"/>
  <c r="AD76" i="41"/>
  <c r="AD216" i="41" s="1"/>
  <c r="Y76" i="41"/>
  <c r="Y216" i="41" s="1"/>
  <c r="V76" i="41"/>
  <c r="V216" i="41" s="1"/>
  <c r="U76" i="41"/>
  <c r="U216" i="41" s="1"/>
  <c r="T76" i="41"/>
  <c r="T216" i="41" s="1"/>
  <c r="R76" i="41"/>
  <c r="R216" i="41" s="1"/>
  <c r="Q76" i="41"/>
  <c r="Q216" i="41" s="1"/>
  <c r="N76" i="41"/>
  <c r="N216" i="41" s="1"/>
  <c r="L76" i="41"/>
  <c r="L216" i="41" s="1"/>
  <c r="I76" i="41"/>
  <c r="I216" i="41" s="1"/>
  <c r="H76" i="41"/>
  <c r="H216" i="41" s="1"/>
  <c r="E76" i="41"/>
  <c r="E216" i="41" s="1"/>
  <c r="X6" i="41"/>
  <c r="X8" i="41" s="1"/>
  <c r="AF6" i="41"/>
  <c r="AA146" i="41"/>
  <c r="AA286" i="41" s="1"/>
  <c r="AC6" i="41"/>
  <c r="AC8" i="41" s="1"/>
  <c r="BA8" i="41"/>
  <c r="S76" i="41"/>
  <c r="S216" i="41" s="1"/>
  <c r="AI76" i="41"/>
  <c r="AI216" i="41" s="1"/>
  <c r="AU76" i="41"/>
  <c r="AU216" i="41" s="1"/>
  <c r="W76" i="41"/>
  <c r="W216" i="41" s="1"/>
  <c r="AM76" i="41"/>
  <c r="AM216" i="41" s="1"/>
  <c r="AY76" i="41"/>
  <c r="AY216" i="41" s="1"/>
  <c r="O76" i="41"/>
  <c r="O216" i="41" s="1"/>
  <c r="AA76" i="41"/>
  <c r="AA216" i="41" s="1"/>
  <c r="AE76" i="41"/>
  <c r="AE216" i="41" s="1"/>
  <c r="BC76" i="41"/>
  <c r="BC216" i="41" s="1"/>
  <c r="L27" i="25"/>
  <c r="BL222" i="32"/>
  <c r="BK222" i="32"/>
  <c r="BJ222" i="32"/>
  <c r="BI222" i="32"/>
  <c r="BH222" i="32"/>
  <c r="BG222" i="32"/>
  <c r="BF222" i="32"/>
  <c r="BE222" i="32"/>
  <c r="BD222" i="32"/>
  <c r="BC222" i="32"/>
  <c r="BB222" i="32"/>
  <c r="BA222" i="32"/>
  <c r="AZ222" i="32"/>
  <c r="AY222" i="32"/>
  <c r="AX222" i="32"/>
  <c r="AW222" i="32"/>
  <c r="AV222" i="32"/>
  <c r="AU222" i="32"/>
  <c r="AT222" i="32"/>
  <c r="AS222" i="32"/>
  <c r="AR222" i="32"/>
  <c r="AQ222" i="32"/>
  <c r="AP222" i="32"/>
  <c r="AO222" i="32"/>
  <c r="AN222" i="32"/>
  <c r="AM222" i="32"/>
  <c r="AL222" i="32"/>
  <c r="AK222" i="32"/>
  <c r="AJ222" i="32"/>
  <c r="AI222" i="32"/>
  <c r="AH222" i="32"/>
  <c r="AG222" i="32"/>
  <c r="AF222" i="32"/>
  <c r="AE222" i="32"/>
  <c r="AD222" i="32"/>
  <c r="AC222" i="32"/>
  <c r="AB222" i="32"/>
  <c r="AA222" i="32"/>
  <c r="Z222" i="32"/>
  <c r="Y222" i="32"/>
  <c r="X222" i="32"/>
  <c r="W222" i="32"/>
  <c r="V222" i="32"/>
  <c r="U222" i="32"/>
  <c r="T222" i="32"/>
  <c r="S222" i="32"/>
  <c r="L171" i="61" s="1"/>
  <c r="R222" i="32"/>
  <c r="Q222" i="32"/>
  <c r="P222" i="32"/>
  <c r="O222" i="32"/>
  <c r="N222" i="32"/>
  <c r="M222" i="32"/>
  <c r="L222" i="32"/>
  <c r="K222" i="32"/>
  <c r="J222" i="32"/>
  <c r="I222" i="32"/>
  <c r="H222" i="32"/>
  <c r="G222" i="32"/>
  <c r="F222" i="32"/>
  <c r="E222" i="32"/>
  <c r="D222" i="32"/>
  <c r="C222" i="32"/>
  <c r="BL221" i="32"/>
  <c r="BK221" i="32"/>
  <c r="BJ221" i="32"/>
  <c r="BI221" i="32"/>
  <c r="BH221" i="32"/>
  <c r="BG221" i="32"/>
  <c r="BF221" i="32"/>
  <c r="BE221" i="32"/>
  <c r="BD221" i="32"/>
  <c r="BC221" i="32"/>
  <c r="BB221" i="32"/>
  <c r="BA221" i="32"/>
  <c r="AZ221" i="32"/>
  <c r="AY221" i="32"/>
  <c r="AX221" i="32"/>
  <c r="AW221" i="32"/>
  <c r="AV221" i="32"/>
  <c r="AU221" i="32"/>
  <c r="AT221" i="32"/>
  <c r="AS221" i="32"/>
  <c r="AR221" i="32"/>
  <c r="AQ221" i="32"/>
  <c r="AP221" i="32"/>
  <c r="AO221" i="32"/>
  <c r="AN221" i="32"/>
  <c r="AM221" i="32"/>
  <c r="AL221" i="32"/>
  <c r="AK221" i="32"/>
  <c r="AJ221" i="32"/>
  <c r="AI221" i="32"/>
  <c r="AH221" i="32"/>
  <c r="AG221" i="32"/>
  <c r="AF221" i="32"/>
  <c r="AE221" i="32"/>
  <c r="AD221" i="32"/>
  <c r="AC221" i="32"/>
  <c r="AB221" i="32"/>
  <c r="AA221" i="32"/>
  <c r="Z221" i="32"/>
  <c r="Y221" i="32"/>
  <c r="X221" i="32"/>
  <c r="W221" i="32"/>
  <c r="V221" i="32"/>
  <c r="U221" i="32"/>
  <c r="T221" i="32"/>
  <c r="S221" i="32"/>
  <c r="R221" i="32"/>
  <c r="Q221" i="32"/>
  <c r="P221" i="32"/>
  <c r="O221" i="32"/>
  <c r="N221" i="32"/>
  <c r="M221" i="32"/>
  <c r="L221" i="32"/>
  <c r="K221" i="32"/>
  <c r="J221" i="32"/>
  <c r="I221" i="32"/>
  <c r="H221" i="32"/>
  <c r="G221" i="32"/>
  <c r="F221" i="32"/>
  <c r="E221" i="32"/>
  <c r="D221" i="32"/>
  <c r="C221" i="32"/>
  <c r="BL220" i="32"/>
  <c r="BK220" i="32"/>
  <c r="BJ220" i="32"/>
  <c r="BI220" i="32"/>
  <c r="BH220" i="32"/>
  <c r="BG220" i="32"/>
  <c r="BF220" i="32"/>
  <c r="BE220" i="32"/>
  <c r="BD220" i="32"/>
  <c r="BC220" i="32"/>
  <c r="BB220" i="32"/>
  <c r="BA220" i="32"/>
  <c r="AZ220" i="32"/>
  <c r="AY220" i="32"/>
  <c r="AX220" i="32"/>
  <c r="AW220" i="32"/>
  <c r="AV220" i="32"/>
  <c r="AU220" i="32"/>
  <c r="AT220" i="32"/>
  <c r="AS220" i="32"/>
  <c r="AR220" i="32"/>
  <c r="AQ220" i="32"/>
  <c r="AP220" i="32"/>
  <c r="AO220" i="32"/>
  <c r="AN220" i="32"/>
  <c r="AM220" i="32"/>
  <c r="AL220" i="32"/>
  <c r="AK220" i="32"/>
  <c r="AJ220" i="32"/>
  <c r="AI220" i="32"/>
  <c r="AH220" i="32"/>
  <c r="AG220" i="32"/>
  <c r="AF220" i="32"/>
  <c r="AE220" i="32"/>
  <c r="AD220" i="32"/>
  <c r="AC220" i="32"/>
  <c r="AB220" i="32"/>
  <c r="AA220" i="32"/>
  <c r="Z220" i="32"/>
  <c r="Y220" i="32"/>
  <c r="X220" i="32"/>
  <c r="W220" i="32"/>
  <c r="V220" i="32"/>
  <c r="U220" i="32"/>
  <c r="T220" i="32"/>
  <c r="S220" i="32"/>
  <c r="R220" i="32"/>
  <c r="Q220" i="32"/>
  <c r="P220" i="32"/>
  <c r="O220" i="32"/>
  <c r="N220" i="32"/>
  <c r="M220" i="32"/>
  <c r="L220" i="32"/>
  <c r="K220" i="32"/>
  <c r="J220" i="32"/>
  <c r="I220" i="32"/>
  <c r="H220" i="32"/>
  <c r="G220" i="32"/>
  <c r="F220" i="32"/>
  <c r="E220" i="32"/>
  <c r="D220" i="32"/>
  <c r="C220" i="32"/>
  <c r="BL219" i="32"/>
  <c r="BK219" i="32"/>
  <c r="BJ219" i="32"/>
  <c r="BI219" i="32"/>
  <c r="BH219" i="32"/>
  <c r="BG219" i="32"/>
  <c r="BF219" i="32"/>
  <c r="BE219" i="32"/>
  <c r="BD219" i="32"/>
  <c r="BC219" i="32"/>
  <c r="BB219" i="32"/>
  <c r="BA219" i="32"/>
  <c r="AZ219" i="32"/>
  <c r="AY219" i="32"/>
  <c r="AX219" i="32"/>
  <c r="AW219" i="32"/>
  <c r="AV219" i="32"/>
  <c r="AU219" i="32"/>
  <c r="AT219" i="32"/>
  <c r="AS219" i="32"/>
  <c r="AR219" i="32"/>
  <c r="AQ219" i="32"/>
  <c r="AP219" i="32"/>
  <c r="AO219" i="32"/>
  <c r="AN219" i="32"/>
  <c r="AM219" i="32"/>
  <c r="AL219" i="32"/>
  <c r="AK219" i="32"/>
  <c r="AJ219" i="32"/>
  <c r="AI219" i="32"/>
  <c r="AH219" i="32"/>
  <c r="AG219" i="32"/>
  <c r="AF219" i="32"/>
  <c r="AE219" i="32"/>
  <c r="AD219" i="32"/>
  <c r="AC219" i="32"/>
  <c r="AB219" i="32"/>
  <c r="AA219" i="32"/>
  <c r="Z219" i="32"/>
  <c r="Y219" i="32"/>
  <c r="X219" i="32"/>
  <c r="W219" i="32"/>
  <c r="V219" i="32"/>
  <c r="U219" i="32"/>
  <c r="T219" i="32"/>
  <c r="S219" i="32"/>
  <c r="R219" i="32"/>
  <c r="Q219" i="32"/>
  <c r="P219" i="32"/>
  <c r="O219" i="32"/>
  <c r="N219" i="32"/>
  <c r="M219" i="32"/>
  <c r="L219" i="32"/>
  <c r="K219" i="32"/>
  <c r="J219" i="32"/>
  <c r="I219" i="32"/>
  <c r="H219" i="32"/>
  <c r="G219" i="32"/>
  <c r="F219" i="32"/>
  <c r="E219" i="32"/>
  <c r="D219" i="32"/>
  <c r="C219" i="32"/>
  <c r="BL218" i="32"/>
  <c r="BK218" i="32"/>
  <c r="BJ218" i="32"/>
  <c r="BI218" i="32"/>
  <c r="BH218" i="32"/>
  <c r="BG218" i="32"/>
  <c r="BF218" i="32"/>
  <c r="BE218" i="32"/>
  <c r="BD218" i="32"/>
  <c r="BC218" i="32"/>
  <c r="BB218" i="32"/>
  <c r="BA218" i="32"/>
  <c r="AZ218" i="32"/>
  <c r="AY218" i="32"/>
  <c r="AX218" i="32"/>
  <c r="AW218" i="32"/>
  <c r="AV218" i="32"/>
  <c r="AU218" i="32"/>
  <c r="AT218" i="32"/>
  <c r="AS218" i="32"/>
  <c r="AR218" i="32"/>
  <c r="AQ218" i="32"/>
  <c r="AP218" i="32"/>
  <c r="AO218" i="32"/>
  <c r="AN218" i="32"/>
  <c r="AM218" i="32"/>
  <c r="AL218" i="32"/>
  <c r="AK218" i="32"/>
  <c r="AJ218" i="32"/>
  <c r="AI218" i="32"/>
  <c r="AH218" i="32"/>
  <c r="AG218" i="32"/>
  <c r="AF218" i="32"/>
  <c r="AE218" i="32"/>
  <c r="AD218" i="32"/>
  <c r="AC218" i="32"/>
  <c r="AB218" i="32"/>
  <c r="AA218" i="32"/>
  <c r="Z218" i="32"/>
  <c r="Y218" i="32"/>
  <c r="X218" i="32"/>
  <c r="W218" i="32"/>
  <c r="V218" i="32"/>
  <c r="U218" i="32"/>
  <c r="T218" i="32"/>
  <c r="S218" i="32"/>
  <c r="R218" i="32"/>
  <c r="Q218" i="32"/>
  <c r="P218" i="32"/>
  <c r="O218" i="32"/>
  <c r="N218" i="32"/>
  <c r="M218" i="32"/>
  <c r="L218" i="32"/>
  <c r="K218" i="32"/>
  <c r="J218" i="32"/>
  <c r="I218" i="32"/>
  <c r="H218" i="32"/>
  <c r="G218" i="32"/>
  <c r="F218" i="32"/>
  <c r="E218" i="32"/>
  <c r="D218" i="32"/>
  <c r="C218" i="32"/>
  <c r="BL217" i="32"/>
  <c r="BK217" i="32"/>
  <c r="BJ217" i="32"/>
  <c r="BI217" i="32"/>
  <c r="BH217" i="32"/>
  <c r="BG217" i="32"/>
  <c r="BF217" i="32"/>
  <c r="BE217" i="32"/>
  <c r="BD217" i="32"/>
  <c r="BC217" i="32"/>
  <c r="BB217" i="32"/>
  <c r="BA217" i="32"/>
  <c r="AZ217" i="32"/>
  <c r="AY217" i="32"/>
  <c r="AX217" i="32"/>
  <c r="AW217" i="32"/>
  <c r="AV217" i="32"/>
  <c r="AU217" i="32"/>
  <c r="AT217" i="32"/>
  <c r="AS217" i="32"/>
  <c r="AR217" i="32"/>
  <c r="AQ217" i="32"/>
  <c r="AP217" i="32"/>
  <c r="AO217" i="32"/>
  <c r="AN217" i="32"/>
  <c r="AM217" i="32"/>
  <c r="AL217" i="32"/>
  <c r="AK217" i="32"/>
  <c r="AJ217" i="32"/>
  <c r="AI217" i="32"/>
  <c r="AH217" i="32"/>
  <c r="AG217" i="32"/>
  <c r="AF217" i="32"/>
  <c r="AE217" i="32"/>
  <c r="AD217" i="32"/>
  <c r="AC217" i="32"/>
  <c r="AB217" i="32"/>
  <c r="AA217" i="32"/>
  <c r="Z217" i="32"/>
  <c r="Y217" i="32"/>
  <c r="X217" i="32"/>
  <c r="W217" i="32"/>
  <c r="V217" i="32"/>
  <c r="U217" i="32"/>
  <c r="T217" i="32"/>
  <c r="S217" i="32"/>
  <c r="R217" i="32"/>
  <c r="Q217" i="32"/>
  <c r="P217" i="32"/>
  <c r="O217" i="32"/>
  <c r="N217" i="32"/>
  <c r="M217" i="32"/>
  <c r="L217" i="32"/>
  <c r="K217" i="32"/>
  <c r="J217" i="32"/>
  <c r="I217" i="32"/>
  <c r="H217" i="32"/>
  <c r="G217" i="32"/>
  <c r="F217" i="32"/>
  <c r="E217" i="32"/>
  <c r="D217" i="32"/>
  <c r="C217" i="32"/>
  <c r="BL216" i="32"/>
  <c r="BK216" i="32"/>
  <c r="BJ216" i="32"/>
  <c r="BI216" i="32"/>
  <c r="BH216" i="32"/>
  <c r="BG216" i="32"/>
  <c r="BF216" i="32"/>
  <c r="BE216" i="32"/>
  <c r="BD216" i="32"/>
  <c r="BC216" i="32"/>
  <c r="BB216" i="32"/>
  <c r="BA216" i="32"/>
  <c r="AZ216" i="32"/>
  <c r="AY216" i="32"/>
  <c r="AX216" i="32"/>
  <c r="AW216" i="32"/>
  <c r="AV216" i="32"/>
  <c r="AU216" i="32"/>
  <c r="AT216" i="32"/>
  <c r="AS216" i="32"/>
  <c r="AR216" i="32"/>
  <c r="AQ216" i="32"/>
  <c r="AP216" i="32"/>
  <c r="AO216" i="32"/>
  <c r="AN216" i="32"/>
  <c r="AM216" i="32"/>
  <c r="AL216" i="32"/>
  <c r="AK216" i="32"/>
  <c r="AJ216" i="32"/>
  <c r="AI216" i="32"/>
  <c r="AH216" i="32"/>
  <c r="AG216" i="32"/>
  <c r="AF216" i="32"/>
  <c r="AE216" i="32"/>
  <c r="AD216" i="32"/>
  <c r="AC216" i="32"/>
  <c r="AB216" i="32"/>
  <c r="AA216" i="32"/>
  <c r="Z216" i="32"/>
  <c r="Y216" i="32"/>
  <c r="X216" i="32"/>
  <c r="W216" i="32"/>
  <c r="V216" i="32"/>
  <c r="U216" i="32"/>
  <c r="T216" i="32"/>
  <c r="S216" i="32"/>
  <c r="R216" i="32"/>
  <c r="Q216" i="32"/>
  <c r="P216" i="32"/>
  <c r="O216" i="32"/>
  <c r="N216" i="32"/>
  <c r="M216" i="32"/>
  <c r="L216" i="32"/>
  <c r="K216" i="32"/>
  <c r="J216" i="32"/>
  <c r="I216" i="32"/>
  <c r="H216" i="32"/>
  <c r="G216" i="32"/>
  <c r="F216" i="32"/>
  <c r="E216" i="32"/>
  <c r="D216" i="32"/>
  <c r="C216" i="32"/>
  <c r="BL215" i="32"/>
  <c r="BK215" i="32"/>
  <c r="BJ215" i="32"/>
  <c r="BI215" i="32"/>
  <c r="BH215" i="32"/>
  <c r="BG215" i="32"/>
  <c r="BF215" i="32"/>
  <c r="BE215" i="32"/>
  <c r="BD215" i="32"/>
  <c r="BC215" i="32"/>
  <c r="BB215" i="32"/>
  <c r="BA215" i="32"/>
  <c r="AZ215" i="32"/>
  <c r="AY215" i="32"/>
  <c r="AX215" i="32"/>
  <c r="AW215" i="32"/>
  <c r="AV215" i="32"/>
  <c r="AU215" i="32"/>
  <c r="AT215" i="32"/>
  <c r="AS215" i="32"/>
  <c r="AR215" i="32"/>
  <c r="AQ215" i="32"/>
  <c r="AP215" i="32"/>
  <c r="AO215" i="32"/>
  <c r="AN215" i="32"/>
  <c r="AM215" i="32"/>
  <c r="AL215" i="32"/>
  <c r="AK215" i="32"/>
  <c r="AJ215" i="32"/>
  <c r="AI215" i="32"/>
  <c r="AH215" i="32"/>
  <c r="AG215" i="32"/>
  <c r="AF215" i="32"/>
  <c r="AE215" i="32"/>
  <c r="AD215" i="32"/>
  <c r="AC215" i="32"/>
  <c r="AB215" i="32"/>
  <c r="AA215" i="32"/>
  <c r="Z215" i="32"/>
  <c r="Y215" i="32"/>
  <c r="X215" i="32"/>
  <c r="W215" i="32"/>
  <c r="V215" i="32"/>
  <c r="U215" i="32"/>
  <c r="T215" i="32"/>
  <c r="S215" i="32"/>
  <c r="R215" i="32"/>
  <c r="Q215" i="32"/>
  <c r="P215" i="32"/>
  <c r="O215" i="32"/>
  <c r="N215" i="32"/>
  <c r="M215" i="32"/>
  <c r="L215" i="32"/>
  <c r="K215" i="32"/>
  <c r="J215" i="32"/>
  <c r="I215" i="32"/>
  <c r="H215" i="32"/>
  <c r="G215" i="32"/>
  <c r="F215" i="32"/>
  <c r="E215" i="32"/>
  <c r="D215" i="32"/>
  <c r="C215" i="32"/>
  <c r="BL214" i="32"/>
  <c r="BK214" i="32"/>
  <c r="BJ214" i="32"/>
  <c r="BI214" i="32"/>
  <c r="BH214" i="32"/>
  <c r="BG214" i="32"/>
  <c r="BF214" i="32"/>
  <c r="BE214" i="32"/>
  <c r="BD214" i="32"/>
  <c r="BC214" i="32"/>
  <c r="BB214" i="32"/>
  <c r="BA214" i="32"/>
  <c r="AZ214" i="32"/>
  <c r="AY214" i="32"/>
  <c r="AX214" i="32"/>
  <c r="AW214" i="32"/>
  <c r="AV214" i="32"/>
  <c r="AU214" i="32"/>
  <c r="AT214" i="32"/>
  <c r="AS214" i="32"/>
  <c r="AR214" i="32"/>
  <c r="AQ214" i="32"/>
  <c r="AP214" i="32"/>
  <c r="AO214" i="32"/>
  <c r="AN214" i="32"/>
  <c r="AM214" i="32"/>
  <c r="AL214" i="32"/>
  <c r="AK214" i="32"/>
  <c r="AJ214" i="32"/>
  <c r="AI214" i="32"/>
  <c r="AH214" i="32"/>
  <c r="AG214" i="32"/>
  <c r="AF214" i="32"/>
  <c r="AE214" i="32"/>
  <c r="AD214" i="32"/>
  <c r="AC214" i="32"/>
  <c r="AB214" i="32"/>
  <c r="AA214" i="32"/>
  <c r="Z214" i="32"/>
  <c r="Y214" i="32"/>
  <c r="X214" i="32"/>
  <c r="W214" i="32"/>
  <c r="V214" i="32"/>
  <c r="U214" i="32"/>
  <c r="T214" i="32"/>
  <c r="S214" i="32"/>
  <c r="R214" i="32"/>
  <c r="Q214" i="32"/>
  <c r="P214" i="32"/>
  <c r="O214" i="32"/>
  <c r="N214" i="32"/>
  <c r="M214" i="32"/>
  <c r="L214" i="32"/>
  <c r="K214" i="32"/>
  <c r="J214" i="32"/>
  <c r="I214" i="32"/>
  <c r="H214" i="32"/>
  <c r="G214" i="32"/>
  <c r="F214" i="32"/>
  <c r="E214" i="32"/>
  <c r="D214" i="32"/>
  <c r="C214" i="32"/>
  <c r="BL213" i="32"/>
  <c r="BK213" i="32"/>
  <c r="BJ213" i="32"/>
  <c r="BI213" i="32"/>
  <c r="BH213" i="32"/>
  <c r="BG213" i="32"/>
  <c r="BF213" i="32"/>
  <c r="BE213" i="32"/>
  <c r="BD213" i="32"/>
  <c r="BC213" i="32"/>
  <c r="BB213" i="32"/>
  <c r="BA213" i="32"/>
  <c r="AZ213" i="32"/>
  <c r="AY213" i="32"/>
  <c r="AX213" i="32"/>
  <c r="AW213" i="32"/>
  <c r="AV213" i="32"/>
  <c r="AU213" i="32"/>
  <c r="AT213" i="32"/>
  <c r="AS213" i="32"/>
  <c r="AR213" i="32"/>
  <c r="AQ213" i="32"/>
  <c r="AP213" i="32"/>
  <c r="AO213" i="32"/>
  <c r="AN213" i="32"/>
  <c r="AM213" i="32"/>
  <c r="AL213" i="32"/>
  <c r="AK213" i="32"/>
  <c r="AJ213" i="32"/>
  <c r="AI213" i="32"/>
  <c r="AH213" i="32"/>
  <c r="AG213" i="32"/>
  <c r="AF213" i="32"/>
  <c r="AE213" i="32"/>
  <c r="AD213" i="32"/>
  <c r="AC213" i="32"/>
  <c r="AB213" i="32"/>
  <c r="AA213" i="32"/>
  <c r="Z213" i="32"/>
  <c r="Y213" i="32"/>
  <c r="X213" i="32"/>
  <c r="W213" i="32"/>
  <c r="V213" i="32"/>
  <c r="U213" i="32"/>
  <c r="T213" i="32"/>
  <c r="S213" i="32"/>
  <c r="R213" i="32"/>
  <c r="Q213" i="32"/>
  <c r="P213" i="32"/>
  <c r="O213" i="32"/>
  <c r="N213" i="32"/>
  <c r="M213" i="32"/>
  <c r="L213" i="32"/>
  <c r="K213" i="32"/>
  <c r="J213" i="32"/>
  <c r="I213" i="32"/>
  <c r="H213" i="32"/>
  <c r="G213" i="32"/>
  <c r="F213" i="32"/>
  <c r="E213" i="32"/>
  <c r="D213" i="32"/>
  <c r="C213" i="32"/>
  <c r="BL212" i="32"/>
  <c r="BK212" i="32"/>
  <c r="BJ212" i="32"/>
  <c r="BI212" i="32"/>
  <c r="BH212" i="32"/>
  <c r="BG212" i="32"/>
  <c r="BF212" i="32"/>
  <c r="BE212" i="32"/>
  <c r="BD212" i="32"/>
  <c r="BC212" i="32"/>
  <c r="BB212" i="32"/>
  <c r="BA212" i="32"/>
  <c r="AZ212" i="32"/>
  <c r="AY212" i="32"/>
  <c r="AX212" i="32"/>
  <c r="AW212" i="32"/>
  <c r="AV212" i="32"/>
  <c r="AU212" i="32"/>
  <c r="AT212" i="32"/>
  <c r="AS212" i="32"/>
  <c r="AR212" i="32"/>
  <c r="AQ212" i="32"/>
  <c r="AP212" i="32"/>
  <c r="AO212" i="32"/>
  <c r="AN212" i="32"/>
  <c r="AM212" i="32"/>
  <c r="AL212" i="32"/>
  <c r="AK212" i="32"/>
  <c r="AJ212" i="32"/>
  <c r="AI212" i="32"/>
  <c r="AH212" i="32"/>
  <c r="AG212" i="32"/>
  <c r="AF212" i="32"/>
  <c r="AE212" i="32"/>
  <c r="AD212" i="32"/>
  <c r="AC212" i="32"/>
  <c r="AB212" i="32"/>
  <c r="AA212" i="32"/>
  <c r="Z212" i="32"/>
  <c r="Y212" i="32"/>
  <c r="X212" i="32"/>
  <c r="W212" i="32"/>
  <c r="V212" i="32"/>
  <c r="U212" i="32"/>
  <c r="T212" i="32"/>
  <c r="S212" i="32"/>
  <c r="R212" i="32"/>
  <c r="Q212" i="32"/>
  <c r="P212" i="32"/>
  <c r="O212" i="32"/>
  <c r="N212" i="32"/>
  <c r="M212" i="32"/>
  <c r="L212" i="32"/>
  <c r="K212" i="32"/>
  <c r="J212" i="32"/>
  <c r="I212" i="32"/>
  <c r="H212" i="32"/>
  <c r="G212" i="32"/>
  <c r="F212" i="32"/>
  <c r="E212" i="32"/>
  <c r="D212" i="32"/>
  <c r="C212" i="32"/>
  <c r="BL211" i="32"/>
  <c r="BK211" i="32"/>
  <c r="BJ211" i="32"/>
  <c r="BI211" i="32"/>
  <c r="BH211" i="32"/>
  <c r="BG211" i="32"/>
  <c r="BF211" i="32"/>
  <c r="BE211" i="32"/>
  <c r="BD211" i="32"/>
  <c r="BC211" i="32"/>
  <c r="BB211" i="32"/>
  <c r="BA211" i="32"/>
  <c r="AZ211" i="32"/>
  <c r="AY211" i="32"/>
  <c r="AX211" i="32"/>
  <c r="AW211" i="32"/>
  <c r="AV211" i="32"/>
  <c r="AU211" i="32"/>
  <c r="AT211" i="32"/>
  <c r="AS211" i="32"/>
  <c r="AR211" i="32"/>
  <c r="AQ211" i="32"/>
  <c r="AP211" i="32"/>
  <c r="AO211" i="32"/>
  <c r="AN211" i="32"/>
  <c r="AM211" i="32"/>
  <c r="AL211" i="32"/>
  <c r="AK211" i="32"/>
  <c r="AJ211" i="32"/>
  <c r="AI211" i="32"/>
  <c r="AH211" i="32"/>
  <c r="AG211" i="32"/>
  <c r="AF211" i="32"/>
  <c r="AE211" i="32"/>
  <c r="AD211" i="32"/>
  <c r="AC211" i="32"/>
  <c r="AB211" i="32"/>
  <c r="AA211" i="32"/>
  <c r="Z211" i="32"/>
  <c r="Y211" i="32"/>
  <c r="X211" i="32"/>
  <c r="W211" i="32"/>
  <c r="V211" i="32"/>
  <c r="U211" i="32"/>
  <c r="T211" i="32"/>
  <c r="S211" i="32"/>
  <c r="R211" i="32"/>
  <c r="Q211" i="32"/>
  <c r="P211" i="32"/>
  <c r="O211" i="32"/>
  <c r="N211" i="32"/>
  <c r="M211" i="32"/>
  <c r="L211" i="32"/>
  <c r="K211" i="32"/>
  <c r="J211" i="32"/>
  <c r="I211" i="32"/>
  <c r="H211" i="32"/>
  <c r="G211" i="32"/>
  <c r="F211" i="32"/>
  <c r="E211" i="32"/>
  <c r="D211" i="32"/>
  <c r="C211" i="32"/>
  <c r="BL210" i="32"/>
  <c r="BK210" i="32"/>
  <c r="BJ210" i="32"/>
  <c r="BI210" i="32"/>
  <c r="BH210" i="32"/>
  <c r="BG210" i="32"/>
  <c r="BF210" i="32"/>
  <c r="BE210" i="32"/>
  <c r="BD210" i="32"/>
  <c r="BC210" i="32"/>
  <c r="BB210" i="32"/>
  <c r="BA210" i="32"/>
  <c r="AZ210" i="32"/>
  <c r="AY210" i="32"/>
  <c r="AX210" i="32"/>
  <c r="AW210" i="32"/>
  <c r="AV210" i="32"/>
  <c r="AU210" i="32"/>
  <c r="AT210" i="32"/>
  <c r="AS210" i="32"/>
  <c r="AR210" i="32"/>
  <c r="AQ210" i="32"/>
  <c r="AP210" i="32"/>
  <c r="AO210" i="32"/>
  <c r="AN210" i="32"/>
  <c r="AM210" i="32"/>
  <c r="AL210" i="32"/>
  <c r="AK210" i="32"/>
  <c r="AJ210" i="32"/>
  <c r="AI210" i="32"/>
  <c r="AH210" i="32"/>
  <c r="AG210" i="32"/>
  <c r="AF210" i="32"/>
  <c r="AE210" i="32"/>
  <c r="AD210" i="32"/>
  <c r="AC210" i="32"/>
  <c r="AB210" i="32"/>
  <c r="AA210" i="32"/>
  <c r="Z210" i="32"/>
  <c r="Y210" i="32"/>
  <c r="X210" i="32"/>
  <c r="W210" i="32"/>
  <c r="V210" i="32"/>
  <c r="U210" i="32"/>
  <c r="T210" i="32"/>
  <c r="S210" i="32"/>
  <c r="R210" i="32"/>
  <c r="Q210" i="32"/>
  <c r="P210" i="32"/>
  <c r="O210" i="32"/>
  <c r="N210" i="32"/>
  <c r="M210" i="32"/>
  <c r="L210" i="32"/>
  <c r="K210" i="32"/>
  <c r="J210" i="32"/>
  <c r="I210" i="32"/>
  <c r="H210" i="32"/>
  <c r="G210" i="32"/>
  <c r="F210" i="32"/>
  <c r="E210" i="32"/>
  <c r="D210" i="32"/>
  <c r="C210" i="32"/>
  <c r="BL209" i="32"/>
  <c r="BK209" i="32"/>
  <c r="BJ209" i="32"/>
  <c r="BI209" i="32"/>
  <c r="BH209" i="32"/>
  <c r="BG209" i="32"/>
  <c r="BF209" i="32"/>
  <c r="BE209" i="32"/>
  <c r="BD209" i="32"/>
  <c r="BC209" i="32"/>
  <c r="BB209" i="32"/>
  <c r="BA209" i="32"/>
  <c r="AZ209" i="32"/>
  <c r="AY209" i="32"/>
  <c r="AX209" i="32"/>
  <c r="AW209" i="32"/>
  <c r="AV209" i="32"/>
  <c r="AU209" i="32"/>
  <c r="AT209" i="32"/>
  <c r="AS209" i="32"/>
  <c r="AR209" i="32"/>
  <c r="AQ209" i="32"/>
  <c r="AP209" i="32"/>
  <c r="AO209" i="32"/>
  <c r="AN209" i="32"/>
  <c r="AM209" i="32"/>
  <c r="AL209" i="32"/>
  <c r="AK209" i="32"/>
  <c r="AJ209" i="32"/>
  <c r="AI209" i="32"/>
  <c r="AH209" i="32"/>
  <c r="AG209" i="32"/>
  <c r="AF209" i="32"/>
  <c r="AE209" i="32"/>
  <c r="AD209" i="32"/>
  <c r="AC209" i="32"/>
  <c r="AB209" i="32"/>
  <c r="AA209" i="32"/>
  <c r="Z209" i="32"/>
  <c r="Y209" i="32"/>
  <c r="X209" i="32"/>
  <c r="W209" i="32"/>
  <c r="V209" i="32"/>
  <c r="U209" i="32"/>
  <c r="T209" i="32"/>
  <c r="S209" i="32"/>
  <c r="R209" i="32"/>
  <c r="Q209" i="32"/>
  <c r="P209" i="32"/>
  <c r="O209" i="32"/>
  <c r="N209" i="32"/>
  <c r="M209" i="32"/>
  <c r="L209" i="32"/>
  <c r="K209" i="32"/>
  <c r="J209" i="32"/>
  <c r="I209" i="32"/>
  <c r="H209" i="32"/>
  <c r="G209" i="32"/>
  <c r="F209" i="32"/>
  <c r="E209" i="32"/>
  <c r="D209" i="32"/>
  <c r="C209" i="32"/>
  <c r="BL208" i="32"/>
  <c r="BK208" i="32"/>
  <c r="BJ208" i="32"/>
  <c r="BI208" i="32"/>
  <c r="BH208" i="32"/>
  <c r="BG208" i="32"/>
  <c r="BF208" i="32"/>
  <c r="BE208" i="32"/>
  <c r="BD208" i="32"/>
  <c r="BC208" i="32"/>
  <c r="BB208" i="32"/>
  <c r="BA208" i="32"/>
  <c r="AZ208" i="32"/>
  <c r="AY208" i="32"/>
  <c r="AX208" i="32"/>
  <c r="AW208" i="32"/>
  <c r="AV208" i="32"/>
  <c r="AU208" i="32"/>
  <c r="AT208" i="32"/>
  <c r="AS208" i="32"/>
  <c r="AR208" i="32"/>
  <c r="AQ208" i="32"/>
  <c r="AP208" i="32"/>
  <c r="AO208" i="32"/>
  <c r="AN208" i="32"/>
  <c r="AM208" i="32"/>
  <c r="AL208" i="32"/>
  <c r="AK208" i="32"/>
  <c r="AJ208" i="32"/>
  <c r="AI208" i="32"/>
  <c r="AH208" i="32"/>
  <c r="AG208" i="32"/>
  <c r="AF208" i="32"/>
  <c r="AE208" i="32"/>
  <c r="AD208" i="32"/>
  <c r="AC208" i="32"/>
  <c r="AB208" i="32"/>
  <c r="AA208" i="32"/>
  <c r="Z208" i="32"/>
  <c r="Y208" i="32"/>
  <c r="X208" i="32"/>
  <c r="W208" i="32"/>
  <c r="V208" i="32"/>
  <c r="U208" i="32"/>
  <c r="T208" i="32"/>
  <c r="S208" i="32"/>
  <c r="R208" i="32"/>
  <c r="Q208" i="32"/>
  <c r="P208" i="32"/>
  <c r="O208" i="32"/>
  <c r="N208" i="32"/>
  <c r="M208" i="32"/>
  <c r="L208" i="32"/>
  <c r="K208" i="32"/>
  <c r="J208" i="32"/>
  <c r="I208" i="32"/>
  <c r="H208" i="32"/>
  <c r="G208" i="32"/>
  <c r="F208" i="32"/>
  <c r="E208" i="32"/>
  <c r="D208" i="32"/>
  <c r="C208" i="32"/>
  <c r="BL207" i="32"/>
  <c r="BK207" i="32"/>
  <c r="BJ207" i="32"/>
  <c r="BI207" i="32"/>
  <c r="BH207" i="32"/>
  <c r="BG207" i="32"/>
  <c r="BF207" i="32"/>
  <c r="BE207" i="32"/>
  <c r="BD207" i="32"/>
  <c r="BC207" i="32"/>
  <c r="BB207" i="32"/>
  <c r="BA207" i="32"/>
  <c r="AZ207" i="32"/>
  <c r="AY207" i="32"/>
  <c r="AX207" i="32"/>
  <c r="AW207" i="32"/>
  <c r="AV207" i="32"/>
  <c r="AU207" i="32"/>
  <c r="AT207" i="32"/>
  <c r="AS207" i="32"/>
  <c r="AR207" i="32"/>
  <c r="AQ207" i="32"/>
  <c r="AP207" i="32"/>
  <c r="AO207" i="32"/>
  <c r="AN207" i="32"/>
  <c r="AM207" i="32"/>
  <c r="AL207" i="32"/>
  <c r="AK207" i="32"/>
  <c r="AJ207" i="32"/>
  <c r="AI207" i="32"/>
  <c r="AH207" i="32"/>
  <c r="AG207" i="32"/>
  <c r="AF207" i="32"/>
  <c r="AE207" i="32"/>
  <c r="AD207" i="32"/>
  <c r="AC207" i="32"/>
  <c r="AB207" i="32"/>
  <c r="AA207" i="32"/>
  <c r="Z207" i="32"/>
  <c r="Y207" i="32"/>
  <c r="X207" i="32"/>
  <c r="W207" i="32"/>
  <c r="V207" i="32"/>
  <c r="U207" i="32"/>
  <c r="T207" i="32"/>
  <c r="S207" i="32"/>
  <c r="L19" i="61" s="1"/>
  <c r="R207" i="32"/>
  <c r="Q207" i="32"/>
  <c r="P207" i="32"/>
  <c r="O207" i="32"/>
  <c r="N207" i="32"/>
  <c r="M207" i="32"/>
  <c r="L207" i="32"/>
  <c r="K207" i="32"/>
  <c r="J207" i="32"/>
  <c r="I207" i="32"/>
  <c r="H207" i="32"/>
  <c r="G207" i="32"/>
  <c r="F207" i="32"/>
  <c r="E207" i="32"/>
  <c r="D207" i="32"/>
  <c r="C207" i="32"/>
  <c r="BL201" i="32"/>
  <c r="BK201" i="32"/>
  <c r="BJ201" i="32"/>
  <c r="BI201" i="32"/>
  <c r="BH201" i="32"/>
  <c r="BG201" i="32"/>
  <c r="BF201" i="32"/>
  <c r="BE201" i="32"/>
  <c r="BD201" i="32"/>
  <c r="BC201" i="32"/>
  <c r="BB201" i="32"/>
  <c r="BA201" i="32"/>
  <c r="AZ201" i="32"/>
  <c r="AY201" i="32"/>
  <c r="AX201" i="32"/>
  <c r="AW201" i="32"/>
  <c r="AV201" i="32"/>
  <c r="AU201" i="32"/>
  <c r="AT201" i="32"/>
  <c r="AS201" i="32"/>
  <c r="AR201" i="32"/>
  <c r="AQ201" i="32"/>
  <c r="AP201" i="32"/>
  <c r="AO201" i="32"/>
  <c r="AN201" i="32"/>
  <c r="AM201" i="32"/>
  <c r="AL201" i="32"/>
  <c r="AK201" i="32"/>
  <c r="AJ201" i="32"/>
  <c r="AI201" i="32"/>
  <c r="AH201" i="32"/>
  <c r="AG201" i="32"/>
  <c r="AF201" i="32"/>
  <c r="AE201" i="32"/>
  <c r="AD201" i="32"/>
  <c r="AC201" i="32"/>
  <c r="AB201" i="32"/>
  <c r="AA201" i="32"/>
  <c r="Z201" i="32"/>
  <c r="Y201" i="32"/>
  <c r="X201" i="32"/>
  <c r="W201" i="32"/>
  <c r="V201" i="32"/>
  <c r="U201" i="32"/>
  <c r="T201" i="32"/>
  <c r="S201" i="32"/>
  <c r="R201" i="32"/>
  <c r="Q201" i="32"/>
  <c r="P201" i="32"/>
  <c r="O201" i="32"/>
  <c r="N201" i="32"/>
  <c r="M201" i="32"/>
  <c r="L201" i="32"/>
  <c r="K201" i="32"/>
  <c r="J201" i="32"/>
  <c r="I201" i="32"/>
  <c r="H201" i="32"/>
  <c r="G201" i="32"/>
  <c r="F201" i="32"/>
  <c r="E201" i="32"/>
  <c r="D201" i="32"/>
  <c r="C201" i="32"/>
  <c r="B201" i="32"/>
  <c r="BL101" i="32"/>
  <c r="BK101" i="32"/>
  <c r="BJ101" i="32"/>
  <c r="BI101" i="32"/>
  <c r="BH101" i="32"/>
  <c r="BG101" i="32"/>
  <c r="BF101" i="32"/>
  <c r="BE101" i="32"/>
  <c r="BD101" i="32"/>
  <c r="BC101" i="32"/>
  <c r="BB101" i="32"/>
  <c r="BA101" i="32"/>
  <c r="AZ101" i="32"/>
  <c r="AY101" i="32"/>
  <c r="AX101" i="32"/>
  <c r="AW101" i="32"/>
  <c r="AV101" i="32"/>
  <c r="AU101" i="32"/>
  <c r="AT101" i="32"/>
  <c r="AS101" i="32"/>
  <c r="AR101" i="32"/>
  <c r="AQ101" i="32"/>
  <c r="AP101" i="32"/>
  <c r="AO101" i="32"/>
  <c r="AN101" i="32"/>
  <c r="AM101" i="32"/>
  <c r="AL101" i="32"/>
  <c r="AK101" i="32"/>
  <c r="AJ101" i="32"/>
  <c r="AI101" i="32"/>
  <c r="AH101" i="32"/>
  <c r="AG101" i="32"/>
  <c r="AF101" i="32"/>
  <c r="AE101" i="32"/>
  <c r="AD101" i="32"/>
  <c r="AC101" i="32"/>
  <c r="AB101" i="32"/>
  <c r="AA101" i="32"/>
  <c r="Z101" i="32"/>
  <c r="Y101" i="32"/>
  <c r="X101" i="32"/>
  <c r="W101" i="32"/>
  <c r="V101" i="32"/>
  <c r="U101" i="32"/>
  <c r="T101" i="32"/>
  <c r="S101" i="32"/>
  <c r="R101" i="32"/>
  <c r="Q101" i="32"/>
  <c r="P101" i="32"/>
  <c r="O101" i="32"/>
  <c r="N101" i="32"/>
  <c r="M101" i="32"/>
  <c r="L101" i="32"/>
  <c r="K101" i="32"/>
  <c r="J101" i="32"/>
  <c r="I101" i="32"/>
  <c r="H101" i="32"/>
  <c r="G101" i="32"/>
  <c r="F101" i="32"/>
  <c r="E101" i="32"/>
  <c r="D101" i="32"/>
  <c r="C101" i="32"/>
  <c r="B101" i="32"/>
  <c r="BL6" i="32"/>
  <c r="BL7" i="32" s="1"/>
  <c r="BK6" i="32"/>
  <c r="BJ6" i="32"/>
  <c r="BJ7" i="32" s="1"/>
  <c r="BI6" i="32"/>
  <c r="BH6" i="32"/>
  <c r="BG6" i="32"/>
  <c r="BF6" i="32"/>
  <c r="BE6" i="32"/>
  <c r="BD6" i="32"/>
  <c r="BC6" i="32"/>
  <c r="BB6" i="32"/>
  <c r="BA6" i="32"/>
  <c r="AZ6" i="32"/>
  <c r="AY6" i="32"/>
  <c r="AX6" i="32"/>
  <c r="AX7" i="32" s="1"/>
  <c r="AW6" i="32"/>
  <c r="AW7" i="32" s="1"/>
  <c r="AV6" i="32"/>
  <c r="AU6" i="32"/>
  <c r="AT6" i="32"/>
  <c r="AS6" i="32"/>
  <c r="AR6" i="32"/>
  <c r="AQ6" i="32"/>
  <c r="AP6" i="32"/>
  <c r="AO6" i="32"/>
  <c r="AN6" i="32"/>
  <c r="AM6" i="32"/>
  <c r="AM7" i="32" s="1"/>
  <c r="AL6" i="32"/>
  <c r="AK6" i="32"/>
  <c r="AJ6" i="32"/>
  <c r="AI6" i="32"/>
  <c r="AI7" i="32" s="1"/>
  <c r="AH6" i="32"/>
  <c r="AH7" i="32" s="1"/>
  <c r="AG6" i="32"/>
  <c r="AF6" i="32"/>
  <c r="AE6" i="32"/>
  <c r="AD6" i="32"/>
  <c r="AC6" i="32"/>
  <c r="AB6" i="32"/>
  <c r="AA6" i="32"/>
  <c r="Z6" i="32"/>
  <c r="Y6" i="32"/>
  <c r="X6" i="32"/>
  <c r="W6" i="32"/>
  <c r="V6" i="32"/>
  <c r="W7" i="32" s="1"/>
  <c r="U6" i="32"/>
  <c r="T6" i="32"/>
  <c r="S6" i="32"/>
  <c r="R6" i="32"/>
  <c r="Q6" i="32"/>
  <c r="P6" i="32"/>
  <c r="Q7" i="32" s="1"/>
  <c r="O6" i="32"/>
  <c r="N6" i="32"/>
  <c r="M6" i="32"/>
  <c r="L6" i="32"/>
  <c r="M7" i="32" s="1"/>
  <c r="K6" i="32"/>
  <c r="J6" i="32"/>
  <c r="I6" i="32"/>
  <c r="J7" i="32" s="1"/>
  <c r="H6" i="32"/>
  <c r="G6" i="32"/>
  <c r="F6" i="32"/>
  <c r="E6" i="32"/>
  <c r="D6" i="32"/>
  <c r="C6" i="32"/>
  <c r="B6" i="32"/>
  <c r="C7" i="32" s="1"/>
  <c r="AF7" i="32"/>
  <c r="AO7" i="32"/>
  <c r="N7" i="32"/>
  <c r="M64" i="17"/>
  <c r="M65" i="17" s="1"/>
  <c r="C40" i="17"/>
  <c r="F26" i="17"/>
  <c r="G44" i="17"/>
  <c r="H26" i="17"/>
  <c r="J46" i="17"/>
  <c r="K46" i="17"/>
  <c r="M38" i="17"/>
  <c r="B46" i="17"/>
  <c r="M44" i="17"/>
  <c r="M22" i="17"/>
  <c r="M36" i="17"/>
  <c r="M24" i="17"/>
  <c r="M32" i="17"/>
  <c r="M42" i="17"/>
  <c r="M14" i="17"/>
  <c r="M30" i="17"/>
  <c r="M18" i="17"/>
  <c r="M26" i="17"/>
  <c r="M34" i="17"/>
  <c r="M40" i="17"/>
  <c r="M16" i="17"/>
  <c r="M20" i="17"/>
  <c r="M28" i="17"/>
  <c r="M46" i="17"/>
  <c r="D29" i="26"/>
  <c r="H441" i="61" s="1"/>
  <c r="E29" i="26"/>
  <c r="I441" i="61" s="1"/>
  <c r="F29" i="26"/>
  <c r="J441" i="61" s="1"/>
  <c r="G29" i="26"/>
  <c r="K441" i="61" s="1"/>
  <c r="C29" i="26"/>
  <c r="G441" i="61" s="1"/>
  <c r="D27" i="26"/>
  <c r="E27" i="26"/>
  <c r="F27" i="26"/>
  <c r="G27" i="26"/>
  <c r="C27" i="26"/>
  <c r="C36" i="26" s="1"/>
  <c r="D23" i="26"/>
  <c r="E23" i="26"/>
  <c r="F23" i="26"/>
  <c r="G23" i="26"/>
  <c r="C23" i="26"/>
  <c r="D13" i="26"/>
  <c r="E13" i="26"/>
  <c r="F13" i="26"/>
  <c r="F36" i="26" s="1"/>
  <c r="F32" i="26" s="1"/>
  <c r="G13" i="26"/>
  <c r="C13" i="26"/>
  <c r="C34" i="26"/>
  <c r="N7" i="25"/>
  <c r="Q7" i="25"/>
  <c r="N17" i="25"/>
  <c r="O17" i="25"/>
  <c r="P17" i="25"/>
  <c r="Q17" i="25"/>
  <c r="D27" i="25"/>
  <c r="E27" i="25"/>
  <c r="F27" i="25"/>
  <c r="G27" i="25"/>
  <c r="H27" i="25"/>
  <c r="I27" i="25"/>
  <c r="J27" i="25"/>
  <c r="K27" i="25"/>
  <c r="C27" i="25"/>
  <c r="F53" i="3"/>
  <c r="F52" i="3"/>
  <c r="F51" i="3"/>
  <c r="D52" i="3"/>
  <c r="E52" i="3" s="1"/>
  <c r="D51" i="3"/>
  <c r="E51" i="3"/>
  <c r="D50" i="3"/>
  <c r="E50" i="3" s="1"/>
  <c r="A46" i="17"/>
  <c r="A65" i="17"/>
  <c r="C64" i="17"/>
  <c r="C65" i="17" s="1"/>
  <c r="D64" i="17"/>
  <c r="E64" i="17"/>
  <c r="E65" i="17" s="1"/>
  <c r="F64" i="17"/>
  <c r="F65" i="17" s="1"/>
  <c r="G64" i="17"/>
  <c r="G65" i="17" s="1"/>
  <c r="H64" i="17"/>
  <c r="H65" i="17" s="1"/>
  <c r="I64" i="17"/>
  <c r="I65" i="17" s="1"/>
  <c r="J64" i="17"/>
  <c r="J65" i="17" s="1"/>
  <c r="K64" i="17"/>
  <c r="K65" i="17" s="1"/>
  <c r="L64" i="17"/>
  <c r="B64" i="17"/>
  <c r="B65" i="17" s="1"/>
  <c r="A44" i="17"/>
  <c r="A42" i="17"/>
  <c r="A40" i="17"/>
  <c r="A38" i="17"/>
  <c r="A36" i="17"/>
  <c r="A34" i="17"/>
  <c r="A32" i="17"/>
  <c r="A30" i="17"/>
  <c r="A28" i="17"/>
  <c r="A26" i="17"/>
  <c r="A24" i="17"/>
  <c r="A22" i="17"/>
  <c r="A20" i="17"/>
  <c r="A18" i="17"/>
  <c r="A16" i="17"/>
  <c r="D65" i="17"/>
  <c r="E44" i="17"/>
  <c r="E46" i="17"/>
  <c r="I46" i="17"/>
  <c r="B32" i="17"/>
  <c r="K44" i="17"/>
  <c r="I42" i="17"/>
  <c r="I38" i="17"/>
  <c r="I44" i="17"/>
  <c r="E42" i="17"/>
  <c r="J38" i="17"/>
  <c r="E38" i="17"/>
  <c r="G28" i="17"/>
  <c r="L26" i="17"/>
  <c r="E30" i="17"/>
  <c r="E28" i="17"/>
  <c r="E26" i="17"/>
  <c r="K38" i="17"/>
  <c r="K36" i="17"/>
  <c r="I30" i="17"/>
  <c r="I28" i="17"/>
  <c r="I26" i="17"/>
  <c r="F14" i="17"/>
  <c r="B42" i="17"/>
  <c r="G22" i="17"/>
  <c r="C22" i="17"/>
  <c r="L42" i="17"/>
  <c r="C34" i="17"/>
  <c r="C20" i="17"/>
  <c r="I40" i="17"/>
  <c r="E40" i="17"/>
  <c r="G20" i="17"/>
  <c r="G30" i="17"/>
  <c r="D40" i="17"/>
  <c r="I18" i="17"/>
  <c r="I32" i="17"/>
  <c r="E14" i="17"/>
  <c r="E24" i="17"/>
  <c r="E36" i="17"/>
  <c r="I16" i="17"/>
  <c r="E16" i="17"/>
  <c r="L14" i="17"/>
  <c r="G18" i="17"/>
  <c r="I22" i="17"/>
  <c r="E22" i="17"/>
  <c r="B34" i="17"/>
  <c r="I34" i="17"/>
  <c r="E34" i="17"/>
  <c r="E18" i="17"/>
  <c r="E32" i="17"/>
  <c r="I14" i="17"/>
  <c r="I24" i="17"/>
  <c r="I36" i="17"/>
  <c r="B20" i="17"/>
  <c r="I20" i="17"/>
  <c r="E20" i="17"/>
  <c r="H22" i="17"/>
  <c r="K24" i="17"/>
  <c r="P47" i="3"/>
  <c r="I47" i="3"/>
  <c r="B47" i="3"/>
  <c r="K7" i="3"/>
  <c r="J7" i="3"/>
  <c r="I7" i="3"/>
  <c r="H7" i="3"/>
  <c r="G7" i="3"/>
  <c r="F7" i="3"/>
  <c r="E7" i="3"/>
  <c r="C7" i="3"/>
  <c r="D7" i="3"/>
  <c r="C14" i="17"/>
  <c r="K16" i="17"/>
  <c r="B30" i="17"/>
  <c r="G38" i="17"/>
  <c r="G26" i="17"/>
  <c r="B16" i="17"/>
  <c r="K22" i="17"/>
  <c r="B18" i="17"/>
  <c r="C46" i="17"/>
  <c r="C24" i="17"/>
  <c r="G14" i="17"/>
  <c r="G32" i="17"/>
  <c r="B22" i="17"/>
  <c r="G42" i="17"/>
  <c r="B40" i="17"/>
  <c r="C16" i="17"/>
  <c r="C30" i="17"/>
  <c r="G16" i="17"/>
  <c r="K28" i="17"/>
  <c r="C36" i="17"/>
  <c r="C38" i="17"/>
  <c r="G36" i="17"/>
  <c r="B38" i="17"/>
  <c r="G46" i="17"/>
  <c r="C32" i="17"/>
  <c r="K18" i="17"/>
  <c r="B24" i="17"/>
  <c r="C42" i="17"/>
  <c r="K20" i="17"/>
  <c r="C26" i="17"/>
  <c r="G10" i="17"/>
  <c r="G24" i="17"/>
  <c r="K14" i="17"/>
  <c r="K32" i="17"/>
  <c r="C18" i="17"/>
  <c r="B36" i="17"/>
  <c r="B14" i="17"/>
  <c r="G34" i="17"/>
  <c r="K40" i="17"/>
  <c r="K42" i="17"/>
  <c r="K34" i="17"/>
  <c r="K30" i="17"/>
  <c r="G40" i="17"/>
  <c r="B26" i="17"/>
  <c r="K26" i="17"/>
  <c r="M10" i="17"/>
  <c r="J18" i="17"/>
  <c r="F34" i="17"/>
  <c r="J30" i="17"/>
  <c r="D20" i="17"/>
  <c r="G7" i="32"/>
  <c r="H28" i="17"/>
  <c r="D14" i="17"/>
  <c r="L20" i="17"/>
  <c r="BC7" i="32"/>
  <c r="F10" i="17"/>
  <c r="H10" i="17"/>
  <c r="J22" i="17"/>
  <c r="D36" i="17"/>
  <c r="H32" i="17"/>
  <c r="H38" i="17"/>
  <c r="I7" i="32"/>
  <c r="U7" i="32"/>
  <c r="AB7" i="32"/>
  <c r="V7" i="32"/>
  <c r="AS7" i="32"/>
  <c r="U146" i="41"/>
  <c r="U286" i="41" s="1"/>
  <c r="BA146" i="41"/>
  <c r="BA286" i="41" s="1"/>
  <c r="AK6" i="41"/>
  <c r="E6" i="41"/>
  <c r="BB146" i="41"/>
  <c r="BB286" i="41" s="1"/>
  <c r="AX146" i="41"/>
  <c r="AX286" i="41" s="1"/>
  <c r="AT146" i="41"/>
  <c r="AT286" i="41" s="1"/>
  <c r="AL146" i="41"/>
  <c r="AL286" i="41" s="1"/>
  <c r="AH146" i="41"/>
  <c r="AH286" i="41" s="1"/>
  <c r="AD146" i="41"/>
  <c r="AD286" i="41" s="1"/>
  <c r="V146" i="41"/>
  <c r="V286" i="41" s="1"/>
  <c r="R146" i="41"/>
  <c r="R286" i="41" s="1"/>
  <c r="N146" i="41"/>
  <c r="N286" i="41" s="1"/>
  <c r="F146" i="41"/>
  <c r="F286" i="41" s="1"/>
  <c r="AE146" i="41"/>
  <c r="AE286" i="41" s="1"/>
  <c r="AZ146" i="41"/>
  <c r="AZ286" i="41" s="1"/>
  <c r="AR146" i="41"/>
  <c r="AR286" i="41" s="1"/>
  <c r="AB146" i="41"/>
  <c r="AB286" i="41" s="1"/>
  <c r="L146" i="41"/>
  <c r="L286" i="41" s="1"/>
  <c r="AW146" i="41"/>
  <c r="AW286" i="41" s="1"/>
  <c r="AS146" i="41"/>
  <c r="AS286" i="41" s="1"/>
  <c r="AO146" i="41"/>
  <c r="AO286" i="41" s="1"/>
  <c r="AG146" i="41"/>
  <c r="AG286" i="41" s="1"/>
  <c r="AC146" i="41"/>
  <c r="AC286" i="41" s="1"/>
  <c r="Y146" i="41"/>
  <c r="Y286" i="41" s="1"/>
  <c r="Q146" i="41"/>
  <c r="Q286" i="41" s="1"/>
  <c r="M146" i="41"/>
  <c r="M286" i="41" s="1"/>
  <c r="I146" i="41"/>
  <c r="I286" i="41" s="1"/>
  <c r="AI6" i="41"/>
  <c r="AI7" i="41" s="1"/>
  <c r="AV6" i="41"/>
  <c r="AV8" i="41" s="1"/>
  <c r="AJ6" i="41"/>
  <c r="AK7" i="41" s="1"/>
  <c r="AB6" i="41"/>
  <c r="P6" i="41"/>
  <c r="P8" i="41" s="1"/>
  <c r="AW6" i="41"/>
  <c r="AW8" i="41" s="1"/>
  <c r="AS76" i="41"/>
  <c r="AS216" i="41" s="1"/>
  <c r="AO6" i="41"/>
  <c r="AO8" i="41" s="1"/>
  <c r="AG6" i="41"/>
  <c r="AH7" i="41" s="1"/>
  <c r="AC76" i="41"/>
  <c r="AC216" i="41" s="1"/>
  <c r="Y6" i="41"/>
  <c r="Y7" i="41" s="1"/>
  <c r="Q6" i="41"/>
  <c r="Q7" i="41" s="1"/>
  <c r="M76" i="41"/>
  <c r="M216" i="41" s="1"/>
  <c r="I6" i="41"/>
  <c r="I8" i="41" s="1"/>
  <c r="BB6" i="41"/>
  <c r="BB7" i="41" s="1"/>
  <c r="AT6" i="41"/>
  <c r="AP76" i="41"/>
  <c r="AP216" i="41" s="1"/>
  <c r="AL6" i="41"/>
  <c r="AL8" i="41" s="1"/>
  <c r="AD6" i="41"/>
  <c r="AD8" i="41" s="1"/>
  <c r="Z76" i="41"/>
  <c r="Z216" i="41" s="1"/>
  <c r="V6" i="41"/>
  <c r="N6" i="41"/>
  <c r="N8" i="41" s="1"/>
  <c r="J76" i="41"/>
  <c r="J216" i="41" s="1"/>
  <c r="F6" i="41"/>
  <c r="J10" i="17"/>
  <c r="J34" i="17"/>
  <c r="F40" i="17"/>
  <c r="J26" i="17"/>
  <c r="F28" i="17"/>
  <c r="F46" i="17"/>
  <c r="F16" i="17"/>
  <c r="F20" i="17"/>
  <c r="F42" i="17"/>
  <c r="F24" i="17"/>
  <c r="J14" i="17"/>
  <c r="J40" i="17"/>
  <c r="J28" i="17"/>
  <c r="F32" i="17"/>
  <c r="F44" i="17"/>
  <c r="F38" i="17"/>
  <c r="K10" i="17"/>
  <c r="F18" i="17"/>
  <c r="F22" i="17"/>
  <c r="F30" i="17"/>
  <c r="J20" i="17"/>
  <c r="J16" i="17"/>
  <c r="J42" i="17"/>
  <c r="F36" i="17"/>
  <c r="J24" i="17"/>
  <c r="J36" i="17"/>
  <c r="J32" i="17"/>
  <c r="J44" i="17"/>
  <c r="AI8" i="41"/>
  <c r="E8" i="41"/>
  <c r="AT8" i="41"/>
  <c r="AU8" i="41"/>
  <c r="AE8" i="41"/>
  <c r="R8" i="41"/>
  <c r="AY6" i="41"/>
  <c r="AY8" i="41" s="1"/>
  <c r="AU146" i="41"/>
  <c r="AU286" i="41" s="1"/>
  <c r="Z7" i="32"/>
  <c r="R7" i="32"/>
  <c r="D7" i="32"/>
  <c r="K7" i="32"/>
  <c r="O7" i="32"/>
  <c r="AD7" i="32"/>
  <c r="AK7" i="32"/>
  <c r="AN7" i="32"/>
  <c r="AZ7" i="32"/>
  <c r="BK7" i="32"/>
  <c r="G146" i="41"/>
  <c r="G286" i="41" s="1"/>
  <c r="K6" i="41"/>
  <c r="K8" i="41" s="1"/>
  <c r="BC6" i="41"/>
  <c r="W6" i="41"/>
  <c r="W7" i="41" s="1"/>
  <c r="BF7" i="32"/>
  <c r="H7" i="32"/>
  <c r="P7" i="32"/>
  <c r="T7" i="32"/>
  <c r="X7" i="32"/>
  <c r="AA7" i="32"/>
  <c r="AE7" i="32"/>
  <c r="BD7" i="32"/>
  <c r="BH7" i="32"/>
  <c r="S146" i="41"/>
  <c r="S286" i="41" s="1"/>
  <c r="AQ146" i="41"/>
  <c r="AQ286" i="41" s="1"/>
  <c r="AA6" i="41"/>
  <c r="AA8" i="41" s="1"/>
  <c r="AK8" i="41"/>
  <c r="AF8" i="41"/>
  <c r="AC7" i="32"/>
  <c r="Z6" i="41"/>
  <c r="I7" i="41"/>
  <c r="AW7" i="41"/>
  <c r="AN6" i="41"/>
  <c r="AN8" i="41" s="1"/>
  <c r="AV7" i="32"/>
  <c r="AZ8" i="41"/>
  <c r="AG7" i="32"/>
  <c r="AR6" i="41"/>
  <c r="BI7" i="32"/>
  <c r="L7" i="32"/>
  <c r="AY7" i="32"/>
  <c r="AQ7" i="32"/>
  <c r="BE7" i="32"/>
  <c r="AL7" i="32"/>
  <c r="BC8" i="41"/>
  <c r="D36" i="26" l="1"/>
  <c r="D32" i="26" s="1"/>
  <c r="E36" i="26"/>
  <c r="E32" i="26" s="1"/>
  <c r="G36" i="26"/>
  <c r="G32" i="26" s="1"/>
  <c r="G33" i="26" s="1"/>
  <c r="P23" i="25"/>
  <c r="I368" i="61" s="1"/>
  <c r="P21" i="25"/>
  <c r="I366" i="61" s="1"/>
  <c r="P24" i="25"/>
  <c r="I369" i="61" s="1"/>
  <c r="O21" i="25"/>
  <c r="H366" i="61" s="1"/>
  <c r="O23" i="25"/>
  <c r="H368" i="61" s="1"/>
  <c r="O24" i="25"/>
  <c r="H369" i="61" s="1"/>
  <c r="H322" i="61" s="1"/>
  <c r="H323" i="61" s="1"/>
  <c r="N24" i="25"/>
  <c r="G369" i="61" s="1"/>
  <c r="G322" i="61" s="1"/>
  <c r="G323" i="61" s="1"/>
  <c r="N23" i="25"/>
  <c r="G368" i="61" s="1"/>
  <c r="G262" i="61" s="1"/>
  <c r="G265" i="61" s="1"/>
  <c r="N21" i="25"/>
  <c r="G366" i="61" s="1"/>
  <c r="Q21" i="25"/>
  <c r="J366" i="61" s="1"/>
  <c r="Q23" i="25"/>
  <c r="J368" i="61" s="1"/>
  <c r="J262" i="61" s="1"/>
  <c r="J265" i="61" s="1"/>
  <c r="Q24" i="25"/>
  <c r="J369" i="61" s="1"/>
  <c r="J322" i="61" s="1"/>
  <c r="J323" i="61" s="1"/>
  <c r="S490" i="64"/>
  <c r="T238" i="64"/>
  <c r="S7" i="64"/>
  <c r="S8" i="64" s="1"/>
  <c r="T87" i="64"/>
  <c r="T492" i="64"/>
  <c r="T489" i="64"/>
  <c r="S64" i="64"/>
  <c r="S522" i="64"/>
  <c r="S38" i="64"/>
  <c r="S42" i="64" s="1"/>
  <c r="S43" i="64"/>
  <c r="T506" i="64"/>
  <c r="T521" i="64" s="1"/>
  <c r="T503" i="64"/>
  <c r="T504" i="64" s="1"/>
  <c r="G487" i="61"/>
  <c r="G488" i="61" s="1"/>
  <c r="G96" i="61"/>
  <c r="G97" i="61" s="1"/>
  <c r="H487" i="61"/>
  <c r="H488" i="61" s="1"/>
  <c r="H96" i="61"/>
  <c r="H97" i="61" s="1"/>
  <c r="K487" i="61"/>
  <c r="K488" i="61" s="1"/>
  <c r="K96" i="61"/>
  <c r="K97" i="61" s="1"/>
  <c r="L487" i="61"/>
  <c r="L96" i="61"/>
  <c r="E7" i="32"/>
  <c r="S7" i="32"/>
  <c r="L22" i="61" s="1"/>
  <c r="AP7" i="32"/>
  <c r="AT7" i="32"/>
  <c r="BB7" i="32"/>
  <c r="M171" i="61"/>
  <c r="N171" i="61" s="1"/>
  <c r="O171" i="61" s="1"/>
  <c r="P171" i="61" s="1"/>
  <c r="Q171" i="61" s="1"/>
  <c r="R171" i="61" s="1"/>
  <c r="S171" i="61" s="1"/>
  <c r="T171" i="61" s="1"/>
  <c r="U171" i="61" s="1"/>
  <c r="L381" i="61"/>
  <c r="M395" i="61"/>
  <c r="J96" i="61"/>
  <c r="J97" i="61" s="1"/>
  <c r="J487" i="61"/>
  <c r="J488" i="61" s="1"/>
  <c r="F7" i="32"/>
  <c r="AL7" i="41"/>
  <c r="I487" i="61"/>
  <c r="I488" i="61" s="1"/>
  <c r="I96" i="61"/>
  <c r="I97" i="61" s="1"/>
  <c r="Y7" i="32"/>
  <c r="AJ7" i="32"/>
  <c r="AR7" i="32"/>
  <c r="BG7" i="32"/>
  <c r="L20" i="61"/>
  <c r="M19" i="61"/>
  <c r="H262" i="61"/>
  <c r="H265" i="61" s="1"/>
  <c r="AR7" i="41"/>
  <c r="G7" i="41"/>
  <c r="AT7" i="41"/>
  <c r="AM7" i="41"/>
  <c r="AB7" i="41"/>
  <c r="AG7" i="41"/>
  <c r="T7" i="41"/>
  <c r="Z7" i="41"/>
  <c r="AB8" i="41"/>
  <c r="AR8" i="41"/>
  <c r="BC7" i="41"/>
  <c r="AC7" i="41"/>
  <c r="J7" i="41"/>
  <c r="BB8" i="41"/>
  <c r="AM8" i="41"/>
  <c r="Y8" i="41"/>
  <c r="BD7" i="41"/>
  <c r="X7" i="41"/>
  <c r="P7" i="41"/>
  <c r="W8" i="41"/>
  <c r="AJ8" i="41"/>
  <c r="R7" i="41"/>
  <c r="Q8" i="41"/>
  <c r="L7" i="41"/>
  <c r="AG8" i="41"/>
  <c r="AJ7" i="41"/>
  <c r="AP7" i="41"/>
  <c r="V7" i="41"/>
  <c r="AY7" i="41"/>
  <c r="AN7" i="41"/>
  <c r="AD7" i="41"/>
  <c r="F7" i="41"/>
  <c r="C32" i="26"/>
  <c r="C33" i="26" s="1"/>
  <c r="C35" i="26" s="1"/>
  <c r="L46" i="17"/>
  <c r="D30" i="17"/>
  <c r="H20" i="17"/>
  <c r="D42" i="17"/>
  <c r="H16" i="17"/>
  <c r="D44" i="17"/>
  <c r="L34" i="17"/>
  <c r="D32" i="17"/>
  <c r="L36" i="17"/>
  <c r="L22" i="17"/>
  <c r="H36" i="17"/>
  <c r="D38" i="17"/>
  <c r="H34" i="17"/>
  <c r="L65" i="17"/>
  <c r="L28" i="17"/>
  <c r="L32" i="17"/>
  <c r="H14" i="17"/>
  <c r="L16" i="17"/>
  <c r="H46" i="17"/>
  <c r="H30" i="17"/>
  <c r="L10" i="17"/>
  <c r="L18" i="17"/>
  <c r="D28" i="17"/>
  <c r="H40" i="17"/>
  <c r="I10" i="17"/>
  <c r="L38" i="17"/>
  <c r="H18" i="17"/>
  <c r="D26" i="17"/>
  <c r="L30" i="17"/>
  <c r="H42" i="17"/>
  <c r="L24" i="17"/>
  <c r="D22" i="17"/>
  <c r="D34" i="17"/>
  <c r="L40" i="17"/>
  <c r="H24" i="17"/>
  <c r="H44" i="17"/>
  <c r="D24" i="17"/>
  <c r="D16" i="17"/>
  <c r="D18" i="17"/>
  <c r="D46" i="17"/>
  <c r="O7" i="25"/>
  <c r="P7" i="25"/>
  <c r="AO7" i="41"/>
  <c r="K7" i="41"/>
  <c r="BA7" i="41"/>
  <c r="AZ7" i="41"/>
  <c r="AU7" i="41"/>
  <c r="AV7" i="41"/>
  <c r="AQ8" i="41"/>
  <c r="AQ7" i="41"/>
  <c r="AE7" i="41"/>
  <c r="AF7" i="41"/>
  <c r="S8" i="41"/>
  <c r="S7" i="41"/>
  <c r="H7" i="41"/>
  <c r="L8" i="41"/>
  <c r="AX7" i="41"/>
  <c r="AX8" i="41"/>
  <c r="BD8" i="41"/>
  <c r="Z8" i="41"/>
  <c r="AA7" i="41"/>
  <c r="AS7" i="41"/>
  <c r="U7" i="41"/>
  <c r="U8" i="41"/>
  <c r="M8" i="41"/>
  <c r="M7" i="41"/>
  <c r="N7" i="41"/>
  <c r="O8" i="41"/>
  <c r="O7" i="41"/>
  <c r="D33" i="26"/>
  <c r="AU7" i="32"/>
  <c r="F8" i="41"/>
  <c r="BA7" i="32"/>
  <c r="C10" i="17"/>
  <c r="V8" i="41"/>
  <c r="E10" i="17"/>
  <c r="F33" i="26"/>
  <c r="E33" i="26"/>
  <c r="L366" i="61" l="1"/>
  <c r="L369" i="61"/>
  <c r="L368" i="61"/>
  <c r="J324" i="61"/>
  <c r="J327" i="61" s="1"/>
  <c r="H324" i="61"/>
  <c r="H327" i="61" s="1"/>
  <c r="I322" i="61"/>
  <c r="I323" i="61" s="1"/>
  <c r="I262" i="61"/>
  <c r="I265" i="61" s="1"/>
  <c r="S121" i="64"/>
  <c r="S58" i="64"/>
  <c r="T497" i="64"/>
  <c r="T48" i="64"/>
  <c r="T221" i="64"/>
  <c r="T222" i="64"/>
  <c r="T223" i="64"/>
  <c r="T89" i="64"/>
  <c r="T90" i="64" s="1"/>
  <c r="T525" i="64"/>
  <c r="M20" i="61"/>
  <c r="N19" i="61"/>
  <c r="L175" i="61"/>
  <c r="M175" i="61" s="1"/>
  <c r="L178" i="61"/>
  <c r="L176" i="61"/>
  <c r="M176" i="61" s="1"/>
  <c r="N395" i="61"/>
  <c r="M381" i="61"/>
  <c r="L23" i="61"/>
  <c r="M22" i="61"/>
  <c r="I324" i="61"/>
  <c r="I327" i="61" s="1"/>
  <c r="Q27" i="25"/>
  <c r="P27" i="25"/>
  <c r="J314" i="61"/>
  <c r="J315" i="61"/>
  <c r="I314" i="61"/>
  <c r="H315" i="61"/>
  <c r="H314" i="61"/>
  <c r="O27" i="25"/>
  <c r="T27" i="25"/>
  <c r="G315" i="61"/>
  <c r="G324" i="61"/>
  <c r="G327" i="61" s="1"/>
  <c r="G370" i="61"/>
  <c r="G373" i="61" s="1"/>
  <c r="G148" i="61"/>
  <c r="G149" i="61" s="1"/>
  <c r="G157" i="61"/>
  <c r="G158" i="61" s="1"/>
  <c r="L17" i="61"/>
  <c r="L172" i="61" s="1"/>
  <c r="N27" i="25"/>
  <c r="S27" i="25"/>
  <c r="C37" i="26"/>
  <c r="M368" i="61" l="1"/>
  <c r="M369" i="61"/>
  <c r="M366" i="61"/>
  <c r="G376" i="61"/>
  <c r="G448" i="61" s="1"/>
  <c r="G450" i="61" s="1"/>
  <c r="G375" i="61"/>
  <c r="G99" i="61"/>
  <c r="G101" i="61" s="1"/>
  <c r="I315" i="61"/>
  <c r="H328" i="61"/>
  <c r="J328" i="61"/>
  <c r="G328" i="61"/>
  <c r="G159" i="61"/>
  <c r="I328" i="61"/>
  <c r="G150" i="61"/>
  <c r="G154" i="61" s="1"/>
  <c r="U526" i="64"/>
  <c r="T527" i="64"/>
  <c r="T224" i="64"/>
  <c r="T120" i="64"/>
  <c r="T99" i="64"/>
  <c r="L402" i="61"/>
  <c r="L470" i="61"/>
  <c r="L398" i="61"/>
  <c r="L459" i="61"/>
  <c r="L253" i="61"/>
  <c r="L256" i="61" s="1"/>
  <c r="L259" i="61" s="1"/>
  <c r="M178" i="61"/>
  <c r="N381" i="61"/>
  <c r="O395" i="61"/>
  <c r="O19" i="61"/>
  <c r="N20" i="61"/>
  <c r="N176" i="61" s="1"/>
  <c r="M23" i="61"/>
  <c r="N22" i="61"/>
  <c r="L148" i="61"/>
  <c r="H266" i="61"/>
  <c r="U27" i="25"/>
  <c r="I266" i="61"/>
  <c r="J157" i="61"/>
  <c r="J158" i="61" s="1"/>
  <c r="J370" i="61"/>
  <c r="J148" i="61"/>
  <c r="J149" i="61" s="1"/>
  <c r="J266" i="61"/>
  <c r="I370" i="61"/>
  <c r="I148" i="61"/>
  <c r="I149" i="61" s="1"/>
  <c r="I157" i="61"/>
  <c r="I158" i="61" s="1"/>
  <c r="G165" i="61"/>
  <c r="H157" i="61"/>
  <c r="H158" i="61" s="1"/>
  <c r="H370" i="61"/>
  <c r="H373" i="61" s="1"/>
  <c r="H148" i="61"/>
  <c r="H149" i="61" s="1"/>
  <c r="L262" i="61"/>
  <c r="G348" i="61"/>
  <c r="G349" i="61" s="1"/>
  <c r="G406" i="61"/>
  <c r="G407" i="61" s="1"/>
  <c r="G341" i="61"/>
  <c r="G343" i="61" s="1"/>
  <c r="G357" i="61"/>
  <c r="G358" i="61" s="1"/>
  <c r="G266" i="61"/>
  <c r="G314" i="61"/>
  <c r="L21" i="61"/>
  <c r="L11" i="61"/>
  <c r="L18" i="61"/>
  <c r="M17" i="61" s="1"/>
  <c r="M172" i="61" s="1"/>
  <c r="D34" i="26"/>
  <c r="D35" i="26" s="1"/>
  <c r="N8" i="25"/>
  <c r="N9" i="25" s="1"/>
  <c r="C38" i="26"/>
  <c r="N366" i="61" l="1"/>
  <c r="N369" i="61"/>
  <c r="G377" i="61"/>
  <c r="G420" i="61" s="1"/>
  <c r="G421" i="61" s="1"/>
  <c r="N368" i="61"/>
  <c r="H376" i="61"/>
  <c r="H375" i="61"/>
  <c r="G533" i="61"/>
  <c r="G526" i="61"/>
  <c r="G220" i="61"/>
  <c r="G166" i="61"/>
  <c r="G167" i="61" s="1"/>
  <c r="G162" i="61"/>
  <c r="G168" i="61" s="1"/>
  <c r="G39" i="61"/>
  <c r="G104" i="61"/>
  <c r="J39" i="61"/>
  <c r="J104" i="61"/>
  <c r="I104" i="61"/>
  <c r="I39" i="61"/>
  <c r="H104" i="61"/>
  <c r="H39" i="61"/>
  <c r="G359" i="61"/>
  <c r="G362" i="61" s="1"/>
  <c r="I159" i="61"/>
  <c r="G344" i="61"/>
  <c r="I150" i="61"/>
  <c r="I154" i="61" s="1"/>
  <c r="G408" i="61"/>
  <c r="G411" i="61" s="1"/>
  <c r="G413" i="61" s="1"/>
  <c r="G412" i="61" s="1"/>
  <c r="H159" i="61"/>
  <c r="J159" i="61"/>
  <c r="H150" i="61"/>
  <c r="H154" i="61" s="1"/>
  <c r="J150" i="61"/>
  <c r="J154" i="61" s="1"/>
  <c r="G451" i="61"/>
  <c r="G61" i="61" s="1"/>
  <c r="M157" i="61"/>
  <c r="M262" i="61"/>
  <c r="T101" i="64"/>
  <c r="T102" i="64" s="1"/>
  <c r="T532" i="64"/>
  <c r="T534" i="64" s="1"/>
  <c r="U480" i="64"/>
  <c r="T68" i="64"/>
  <c r="T528" i="64"/>
  <c r="T529" i="64" s="1"/>
  <c r="T45" i="64" s="1"/>
  <c r="L511" i="61"/>
  <c r="M459" i="61"/>
  <c r="N175" i="61"/>
  <c r="O175" i="61" s="1"/>
  <c r="M398" i="61"/>
  <c r="L399" i="61"/>
  <c r="L516" i="61"/>
  <c r="L455" i="61"/>
  <c r="L518" i="61" s="1"/>
  <c r="P19" i="61"/>
  <c r="O20" i="61"/>
  <c r="O176" i="61" s="1"/>
  <c r="M253" i="61"/>
  <c r="M256" i="61" s="1"/>
  <c r="M259" i="61" s="1"/>
  <c r="N178" i="61"/>
  <c r="M470" i="61"/>
  <c r="L471" i="61"/>
  <c r="O22" i="61"/>
  <c r="N23" i="61"/>
  <c r="O381" i="61"/>
  <c r="P395" i="61"/>
  <c r="L517" i="61"/>
  <c r="L403" i="61"/>
  <c r="L116" i="61" s="1"/>
  <c r="M402" i="61"/>
  <c r="L157" i="61"/>
  <c r="L165" i="61" s="1"/>
  <c r="L370" i="61"/>
  <c r="M322" i="61"/>
  <c r="L322" i="61"/>
  <c r="I165" i="61"/>
  <c r="J165" i="61"/>
  <c r="H165" i="61"/>
  <c r="G335" i="61"/>
  <c r="G336" i="61" s="1"/>
  <c r="G350" i="61"/>
  <c r="G353" i="61" s="1"/>
  <c r="H406" i="61"/>
  <c r="H407" i="61" s="1"/>
  <c r="H357" i="61"/>
  <c r="H358" i="61" s="1"/>
  <c r="H448" i="61"/>
  <c r="H450" i="61" s="1"/>
  <c r="H341" i="61"/>
  <c r="H343" i="61" s="1"/>
  <c r="H348" i="61"/>
  <c r="H349" i="61" s="1"/>
  <c r="I373" i="61"/>
  <c r="L177" i="61"/>
  <c r="M18" i="61"/>
  <c r="N17" i="61" s="1"/>
  <c r="N172" i="61" s="1"/>
  <c r="M21" i="61"/>
  <c r="L13" i="61"/>
  <c r="L129" i="61" s="1"/>
  <c r="L12" i="61"/>
  <c r="M11" i="61"/>
  <c r="D37" i="26"/>
  <c r="V27" i="25"/>
  <c r="N10" i="25"/>
  <c r="G492" i="61" s="1"/>
  <c r="O368" i="61" l="1"/>
  <c r="H377" i="61"/>
  <c r="O369" i="61"/>
  <c r="O366" i="61"/>
  <c r="I375" i="61"/>
  <c r="I341" i="61" s="1"/>
  <c r="I343" i="61" s="1"/>
  <c r="I376" i="61"/>
  <c r="H99" i="61"/>
  <c r="H101" i="61" s="1"/>
  <c r="H166" i="61"/>
  <c r="H167" i="61" s="1"/>
  <c r="I166" i="61"/>
  <c r="I167" i="61" s="1"/>
  <c r="J166" i="61"/>
  <c r="J167" i="61" s="1"/>
  <c r="H162" i="61"/>
  <c r="H168" i="61" s="1"/>
  <c r="G363" i="61"/>
  <c r="I162" i="61"/>
  <c r="I168" i="61" s="1"/>
  <c r="J162" i="61"/>
  <c r="J168" i="61" s="1"/>
  <c r="H344" i="61"/>
  <c r="G354" i="61"/>
  <c r="H451" i="61"/>
  <c r="H61" i="61" s="1"/>
  <c r="G337" i="61"/>
  <c r="G422" i="61"/>
  <c r="H359" i="61"/>
  <c r="H362" i="61" s="1"/>
  <c r="N322" i="61"/>
  <c r="T60" i="64"/>
  <c r="T70" i="64"/>
  <c r="T67" i="64"/>
  <c r="T53" i="64" s="1"/>
  <c r="T535" i="64"/>
  <c r="T36" i="64" s="1"/>
  <c r="U533" i="64"/>
  <c r="T49" i="64"/>
  <c r="T59" i="64"/>
  <c r="T71" i="64"/>
  <c r="T52" i="64"/>
  <c r="T530" i="64"/>
  <c r="T44" i="64" s="1"/>
  <c r="T47" i="64" s="1"/>
  <c r="T536" i="64"/>
  <c r="T35" i="64" s="1"/>
  <c r="U220" i="64"/>
  <c r="U482" i="64"/>
  <c r="U500" i="64"/>
  <c r="N253" i="61"/>
  <c r="N256" i="61" s="1"/>
  <c r="N259" i="61" s="1"/>
  <c r="O178" i="61"/>
  <c r="P22" i="61"/>
  <c r="O23" i="61"/>
  <c r="M511" i="61"/>
  <c r="N459" i="61"/>
  <c r="P381" i="61"/>
  <c r="Q395" i="61"/>
  <c r="L456" i="61"/>
  <c r="L117" i="61" s="1"/>
  <c r="L115" i="61"/>
  <c r="M517" i="61"/>
  <c r="M403" i="61"/>
  <c r="M116" i="61" s="1"/>
  <c r="N402" i="61"/>
  <c r="M471" i="61"/>
  <c r="N470" i="61"/>
  <c r="P20" i="61"/>
  <c r="P175" i="61" s="1"/>
  <c r="Q19" i="61"/>
  <c r="M399" i="61"/>
  <c r="M455" i="61"/>
  <c r="M518" i="61" s="1"/>
  <c r="M516" i="61"/>
  <c r="N398" i="61"/>
  <c r="L127" i="61"/>
  <c r="L128" i="61"/>
  <c r="L125" i="61"/>
  <c r="L126" i="61"/>
  <c r="M148" i="61"/>
  <c r="M165" i="61" s="1"/>
  <c r="M370" i="61"/>
  <c r="H420" i="61"/>
  <c r="H421" i="61" s="1"/>
  <c r="H350" i="61"/>
  <c r="H353" i="61" s="1"/>
  <c r="H335" i="61"/>
  <c r="H336" i="61" s="1"/>
  <c r="H408" i="61"/>
  <c r="H411" i="61" s="1"/>
  <c r="H413" i="61" s="1"/>
  <c r="H412" i="61" s="1"/>
  <c r="I406" i="61"/>
  <c r="I407" i="61" s="1"/>
  <c r="I357" i="61"/>
  <c r="I358" i="61" s="1"/>
  <c r="I448" i="61"/>
  <c r="I450" i="61" s="1"/>
  <c r="J373" i="61"/>
  <c r="I348" i="61"/>
  <c r="I349" i="61" s="1"/>
  <c r="N11" i="61"/>
  <c r="M12" i="61"/>
  <c r="N18" i="61"/>
  <c r="O17" i="61" s="1"/>
  <c r="O172" i="61" s="1"/>
  <c r="N21" i="61"/>
  <c r="L143" i="61"/>
  <c r="L293" i="61"/>
  <c r="L352" i="61"/>
  <c r="L139" i="61"/>
  <c r="L181" i="61"/>
  <c r="L280" i="61"/>
  <c r="L326" i="61"/>
  <c r="L331" i="61"/>
  <c r="L323" i="61"/>
  <c r="L131" i="61"/>
  <c r="L426" i="61"/>
  <c r="L209" i="61" s="1"/>
  <c r="L428" i="61"/>
  <c r="L461" i="61"/>
  <c r="L15" i="61"/>
  <c r="L136" i="61"/>
  <c r="L301" i="61"/>
  <c r="L445" i="61"/>
  <c r="L14" i="61"/>
  <c r="L384" i="61"/>
  <c r="L297" i="61"/>
  <c r="L427" i="61"/>
  <c r="L233" i="61"/>
  <c r="L361" i="61"/>
  <c r="M13" i="61"/>
  <c r="M129" i="61" s="1"/>
  <c r="L382" i="61"/>
  <c r="L185" i="61"/>
  <c r="L188" i="61" s="1"/>
  <c r="L179" i="61"/>
  <c r="M177" i="61"/>
  <c r="D38" i="26"/>
  <c r="G224" i="61"/>
  <c r="G480" i="61"/>
  <c r="G482" i="61" s="1"/>
  <c r="G489" i="61" s="1"/>
  <c r="G87" i="61"/>
  <c r="G89" i="61" s="1"/>
  <c r="G90" i="61" s="1"/>
  <c r="E34" i="26"/>
  <c r="E35" i="26" s="1"/>
  <c r="W27" i="25"/>
  <c r="O8" i="25"/>
  <c r="O9" i="25" s="1"/>
  <c r="N11" i="25"/>
  <c r="P366" i="61" l="1"/>
  <c r="P369" i="61"/>
  <c r="I377" i="61"/>
  <c r="I420" i="61" s="1"/>
  <c r="I421" i="61" s="1"/>
  <c r="P368" i="61"/>
  <c r="H526" i="61"/>
  <c r="H533" i="61"/>
  <c r="H220" i="61"/>
  <c r="H224" i="61" s="1"/>
  <c r="G60" i="61"/>
  <c r="G525" i="61"/>
  <c r="G527" i="61" s="1"/>
  <c r="G532" i="61"/>
  <c r="G534" i="61" s="1"/>
  <c r="J376" i="61"/>
  <c r="J375" i="61"/>
  <c r="J341" i="61" s="1"/>
  <c r="J343" i="61" s="1"/>
  <c r="P176" i="61"/>
  <c r="L144" i="61"/>
  <c r="L81" i="61" s="1"/>
  <c r="H363" i="61"/>
  <c r="I451" i="61"/>
  <c r="I61" i="61" s="1"/>
  <c r="I359" i="61"/>
  <c r="I362" i="61" s="1"/>
  <c r="H337" i="61"/>
  <c r="L166" i="61"/>
  <c r="M166" i="61" s="1"/>
  <c r="I344" i="61"/>
  <c r="H354" i="61"/>
  <c r="H422" i="61"/>
  <c r="N148" i="61"/>
  <c r="T72" i="64"/>
  <c r="T75" i="64" s="1"/>
  <c r="U489" i="64"/>
  <c r="U492" i="64"/>
  <c r="T46" i="64"/>
  <c r="T54" i="64"/>
  <c r="T56" i="64" s="1"/>
  <c r="U506" i="64"/>
  <c r="U521" i="64" s="1"/>
  <c r="U503" i="64"/>
  <c r="U87" i="64"/>
  <c r="T38" i="64"/>
  <c r="T42" i="64" s="1"/>
  <c r="T43" i="64"/>
  <c r="T62" i="64"/>
  <c r="N471" i="61"/>
  <c r="O470" i="61"/>
  <c r="P23" i="61"/>
  <c r="Q22" i="61"/>
  <c r="M115" i="61"/>
  <c r="M456" i="61"/>
  <c r="M117" i="61" s="1"/>
  <c r="N511" i="61"/>
  <c r="O459" i="61"/>
  <c r="N516" i="61"/>
  <c r="N455" i="61"/>
  <c r="N518" i="61" s="1"/>
  <c r="O398" i="61"/>
  <c r="N399" i="61"/>
  <c r="Q20" i="61"/>
  <c r="Q175" i="61" s="1"/>
  <c r="R19" i="61"/>
  <c r="N403" i="61"/>
  <c r="N116" i="61" s="1"/>
  <c r="N517" i="61"/>
  <c r="O402" i="61"/>
  <c r="O253" i="61"/>
  <c r="O256" i="61" s="1"/>
  <c r="O259" i="61" s="1"/>
  <c r="P178" i="61"/>
  <c r="Q381" i="61"/>
  <c r="R395" i="61"/>
  <c r="L304" i="61"/>
  <c r="L306" i="61" s="1"/>
  <c r="L182" i="61"/>
  <c r="L183" i="61" s="1"/>
  <c r="L478" i="61" s="1"/>
  <c r="M125" i="61"/>
  <c r="M128" i="61"/>
  <c r="M127" i="61"/>
  <c r="M126" i="61"/>
  <c r="N157" i="61"/>
  <c r="N262" i="61"/>
  <c r="N370" i="61"/>
  <c r="J357" i="61"/>
  <c r="J358" i="61" s="1"/>
  <c r="J406" i="61"/>
  <c r="J407" i="61" s="1"/>
  <c r="K373" i="61"/>
  <c r="J348" i="61"/>
  <c r="J349" i="61" s="1"/>
  <c r="I408" i="61"/>
  <c r="I411" i="61" s="1"/>
  <c r="I413" i="61" s="1"/>
  <c r="I412" i="61" s="1"/>
  <c r="I350" i="61"/>
  <c r="I353" i="61" s="1"/>
  <c r="I335" i="61"/>
  <c r="I336" i="61" s="1"/>
  <c r="M427" i="61"/>
  <c r="M428" i="61"/>
  <c r="M352" i="61"/>
  <c r="M14" i="61"/>
  <c r="N13" i="61"/>
  <c r="N129" i="61" s="1"/>
  <c r="M15" i="61"/>
  <c r="L512" i="61"/>
  <c r="M331" i="61"/>
  <c r="L327" i="61"/>
  <c r="M326" i="61"/>
  <c r="O18" i="61"/>
  <c r="P17" i="61" s="1"/>
  <c r="P172" i="61" s="1"/>
  <c r="O21" i="61"/>
  <c r="M139" i="61"/>
  <c r="M297" i="61"/>
  <c r="L475" i="61"/>
  <c r="L80" i="61"/>
  <c r="M136" i="61"/>
  <c r="M179" i="61"/>
  <c r="M185" i="61"/>
  <c r="M188" i="61" s="1"/>
  <c r="M382" i="61"/>
  <c r="L484" i="61"/>
  <c r="L73" i="61"/>
  <c r="M361" i="61"/>
  <c r="M131" i="61"/>
  <c r="M280" i="61"/>
  <c r="L278" i="61"/>
  <c r="M293" i="61"/>
  <c r="M301" i="61"/>
  <c r="L130" i="61"/>
  <c r="L132" i="61" s="1"/>
  <c r="L429" i="61"/>
  <c r="L210" i="61" s="1"/>
  <c r="M426" i="61"/>
  <c r="M209" i="61" s="1"/>
  <c r="N177" i="61"/>
  <c r="L332" i="61"/>
  <c r="L229" i="61"/>
  <c r="M233" i="61"/>
  <c r="L152" i="61"/>
  <c r="M384" i="61"/>
  <c r="L385" i="61"/>
  <c r="L494" i="61"/>
  <c r="L502" i="61" s="1"/>
  <c r="L98" i="61"/>
  <c r="M445" i="61"/>
  <c r="L462" i="61"/>
  <c r="L110" i="61" s="1"/>
  <c r="M461" i="61"/>
  <c r="L515" i="61"/>
  <c r="L324" i="61"/>
  <c r="L114" i="61"/>
  <c r="M323" i="61"/>
  <c r="L263" i="61"/>
  <c r="M181" i="61"/>
  <c r="M143" i="61"/>
  <c r="O11" i="61"/>
  <c r="N12" i="61"/>
  <c r="G102" i="61"/>
  <c r="G120" i="61"/>
  <c r="G497" i="61"/>
  <c r="G48" i="61"/>
  <c r="E37" i="26"/>
  <c r="X27" i="25"/>
  <c r="O10" i="25"/>
  <c r="H492" i="61" s="1"/>
  <c r="Q368" i="61" l="1"/>
  <c r="J377" i="61"/>
  <c r="J420" i="61" s="1"/>
  <c r="J421" i="61" s="1"/>
  <c r="Q369" i="61"/>
  <c r="Q366" i="61"/>
  <c r="J448" i="61"/>
  <c r="J450" i="61" s="1"/>
  <c r="K376" i="61"/>
  <c r="K375" i="61"/>
  <c r="K377" i="61" s="1"/>
  <c r="I99" i="61"/>
  <c r="I101" i="61" s="1"/>
  <c r="L167" i="61"/>
  <c r="L168" i="61" s="1"/>
  <c r="M144" i="61"/>
  <c r="M81" i="61" s="1"/>
  <c r="I363" i="61"/>
  <c r="I337" i="61"/>
  <c r="J344" i="61"/>
  <c r="J359" i="61"/>
  <c r="J362" i="61" s="1"/>
  <c r="I354" i="61"/>
  <c r="I422" i="61"/>
  <c r="J408" i="61"/>
  <c r="J411" i="61" s="1"/>
  <c r="J413" i="61" s="1"/>
  <c r="J412" i="61" s="1"/>
  <c r="N165" i="61"/>
  <c r="P262" i="61"/>
  <c r="P322" i="61"/>
  <c r="O322" i="61"/>
  <c r="O262" i="61"/>
  <c r="T7" i="64"/>
  <c r="T8" i="64" s="1"/>
  <c r="U238" i="64"/>
  <c r="T490" i="64"/>
  <c r="T121" i="64"/>
  <c r="T58" i="64"/>
  <c r="U525" i="64"/>
  <c r="T64" i="64"/>
  <c r="T522" i="64"/>
  <c r="U221" i="64"/>
  <c r="U222" i="64"/>
  <c r="U223" i="64"/>
  <c r="U89" i="64"/>
  <c r="U90" i="64" s="1"/>
  <c r="U504" i="64"/>
  <c r="U497" i="64"/>
  <c r="U48" i="64"/>
  <c r="S19" i="61"/>
  <c r="R20" i="61"/>
  <c r="R175" i="61" s="1"/>
  <c r="R381" i="61"/>
  <c r="S395" i="61"/>
  <c r="O403" i="61"/>
  <c r="O116" i="61" s="1"/>
  <c r="O517" i="61"/>
  <c r="P402" i="61"/>
  <c r="O471" i="61"/>
  <c r="P470" i="61"/>
  <c r="N456" i="61"/>
  <c r="N117" i="61" s="1"/>
  <c r="N115" i="61"/>
  <c r="O511" i="61"/>
  <c r="P459" i="61"/>
  <c r="Q176" i="61"/>
  <c r="R176" i="61" s="1"/>
  <c r="P253" i="61"/>
  <c r="P256" i="61" s="1"/>
  <c r="P259" i="61" s="1"/>
  <c r="Q178" i="61"/>
  <c r="O516" i="61"/>
  <c r="O455" i="61"/>
  <c r="O518" i="61" s="1"/>
  <c r="O399" i="61"/>
  <c r="P398" i="61"/>
  <c r="Q23" i="61"/>
  <c r="R22" i="61"/>
  <c r="L135" i="61"/>
  <c r="L137" i="61" s="1"/>
  <c r="L140" i="61" s="1"/>
  <c r="M304" i="61"/>
  <c r="M135" i="61" s="1"/>
  <c r="M137" i="61" s="1"/>
  <c r="M140" i="61" s="1"/>
  <c r="L286" i="61"/>
  <c r="L288" i="61" s="1"/>
  <c r="L289" i="61" s="1"/>
  <c r="M182" i="61"/>
  <c r="N127" i="61"/>
  <c r="N128" i="61"/>
  <c r="N125" i="61"/>
  <c r="N126" i="61"/>
  <c r="O370" i="61"/>
  <c r="O148" i="61"/>
  <c r="O157" i="61"/>
  <c r="K406" i="61"/>
  <c r="K407" i="61" s="1"/>
  <c r="L373" i="61"/>
  <c r="M373" i="61" s="1"/>
  <c r="N373" i="61" s="1"/>
  <c r="K348" i="61"/>
  <c r="K349" i="61" s="1"/>
  <c r="K357" i="61"/>
  <c r="K358" i="61" s="1"/>
  <c r="K448" i="61"/>
  <c r="K450" i="61" s="1"/>
  <c r="J335" i="61"/>
  <c r="J336" i="61" s="1"/>
  <c r="J350" i="61"/>
  <c r="J353" i="61" s="1"/>
  <c r="N427" i="61"/>
  <c r="L85" i="61"/>
  <c r="N361" i="61"/>
  <c r="M385" i="61"/>
  <c r="N301" i="61"/>
  <c r="N139" i="61"/>
  <c r="N384" i="61"/>
  <c r="N428" i="61"/>
  <c r="N293" i="61"/>
  <c r="N280" i="61"/>
  <c r="N297" i="61"/>
  <c r="N131" i="61"/>
  <c r="M229" i="61"/>
  <c r="M230" i="61" s="1"/>
  <c r="M231" i="61" s="1"/>
  <c r="N233" i="61"/>
  <c r="M475" i="61"/>
  <c r="N136" i="61"/>
  <c r="M80" i="61"/>
  <c r="P11" i="61"/>
  <c r="O12" i="61"/>
  <c r="M263" i="61"/>
  <c r="N181" i="61"/>
  <c r="L328" i="61"/>
  <c r="L39" i="61" s="1"/>
  <c r="L507" i="61"/>
  <c r="L230" i="61"/>
  <c r="M278" i="61"/>
  <c r="N382" i="61"/>
  <c r="M73" i="61"/>
  <c r="M484" i="61"/>
  <c r="P21" i="61"/>
  <c r="P18" i="61"/>
  <c r="Q17" i="61" s="1"/>
  <c r="Q172" i="61" s="1"/>
  <c r="M512" i="61"/>
  <c r="N331" i="61"/>
  <c r="N143" i="61"/>
  <c r="N445" i="61"/>
  <c r="M98" i="61"/>
  <c r="M494" i="61"/>
  <c r="M502" i="61" s="1"/>
  <c r="L41" i="61"/>
  <c r="M332" i="61"/>
  <c r="N185" i="61"/>
  <c r="N188" i="61" s="1"/>
  <c r="N179" i="61"/>
  <c r="N426" i="61"/>
  <c r="N209" i="61" s="1"/>
  <c r="M429" i="61"/>
  <c r="M210" i="61" s="1"/>
  <c r="M130" i="61"/>
  <c r="M132" i="61" s="1"/>
  <c r="L281" i="61"/>
  <c r="L279" i="61"/>
  <c r="L307" i="61"/>
  <c r="L314" i="61"/>
  <c r="N352" i="61"/>
  <c r="N14" i="61"/>
  <c r="O13" i="61"/>
  <c r="O129" i="61" s="1"/>
  <c r="N15" i="61"/>
  <c r="M114" i="61"/>
  <c r="M515" i="61"/>
  <c r="N323" i="61"/>
  <c r="M324" i="61"/>
  <c r="M462" i="61"/>
  <c r="M110" i="61" s="1"/>
  <c r="N461" i="61"/>
  <c r="L153" i="61"/>
  <c r="M152" i="61"/>
  <c r="O177" i="61"/>
  <c r="L93" i="61"/>
  <c r="L106" i="61"/>
  <c r="L342" i="61"/>
  <c r="L264" i="61"/>
  <c r="M167" i="61"/>
  <c r="N166" i="61"/>
  <c r="M327" i="61"/>
  <c r="N326" i="61"/>
  <c r="G67" i="61"/>
  <c r="G53" i="61" s="1"/>
  <c r="H87" i="61"/>
  <c r="H89" i="61" s="1"/>
  <c r="H90" i="61" s="1"/>
  <c r="G528" i="61"/>
  <c r="G71" i="61" s="1"/>
  <c r="G68" i="61"/>
  <c r="H480" i="61"/>
  <c r="H482" i="61" s="1"/>
  <c r="H489" i="61" s="1"/>
  <c r="F34" i="26"/>
  <c r="F35" i="26" s="1"/>
  <c r="E38" i="26"/>
  <c r="Y27" i="25"/>
  <c r="O11" i="25"/>
  <c r="P8" i="25"/>
  <c r="P9" i="25" s="1"/>
  <c r="K341" i="61" l="1"/>
  <c r="K343" i="61" s="1"/>
  <c r="M168" i="61"/>
  <c r="R366" i="61"/>
  <c r="J451" i="61"/>
  <c r="J61" i="61" s="1"/>
  <c r="R369" i="61"/>
  <c r="R368" i="61"/>
  <c r="I220" i="61"/>
  <c r="I526" i="61"/>
  <c r="I533" i="61"/>
  <c r="H525" i="61"/>
  <c r="H527" i="61" s="1"/>
  <c r="H60" i="61"/>
  <c r="H532" i="61"/>
  <c r="H534" i="61" s="1"/>
  <c r="J363" i="61"/>
  <c r="J354" i="61"/>
  <c r="J337" i="61"/>
  <c r="J422" i="61"/>
  <c r="K344" i="61"/>
  <c r="Q322" i="61"/>
  <c r="Q157" i="61"/>
  <c r="M306" i="61"/>
  <c r="M314" i="61" s="1"/>
  <c r="U527" i="64"/>
  <c r="U224" i="64"/>
  <c r="U120" i="64"/>
  <c r="U99" i="64"/>
  <c r="O456" i="61"/>
  <c r="O117" i="61" s="1"/>
  <c r="O115" i="61"/>
  <c r="P517" i="61"/>
  <c r="P403" i="61"/>
  <c r="P116" i="61" s="1"/>
  <c r="Q402" i="61"/>
  <c r="R23" i="61"/>
  <c r="S22" i="61"/>
  <c r="S176" i="61"/>
  <c r="P511" i="61"/>
  <c r="Q459" i="61"/>
  <c r="Q470" i="61"/>
  <c r="P471" i="61"/>
  <c r="S20" i="61"/>
  <c r="T19" i="61"/>
  <c r="P516" i="61"/>
  <c r="P399" i="61"/>
  <c r="P455" i="61"/>
  <c r="P518" i="61" s="1"/>
  <c r="Q398" i="61"/>
  <c r="Q253" i="61"/>
  <c r="Q256" i="61" s="1"/>
  <c r="Q259" i="61" s="1"/>
  <c r="R178" i="61"/>
  <c r="S381" i="61"/>
  <c r="T395" i="61"/>
  <c r="S175" i="61"/>
  <c r="N304" i="61"/>
  <c r="N306" i="61" s="1"/>
  <c r="M286" i="61"/>
  <c r="M288" i="61" s="1"/>
  <c r="M289" i="61" s="1"/>
  <c r="N182" i="61"/>
  <c r="N183" i="61" s="1"/>
  <c r="N478" i="61" s="1"/>
  <c r="L318" i="61"/>
  <c r="N385" i="61"/>
  <c r="O125" i="61"/>
  <c r="O128" i="61"/>
  <c r="O127" i="61"/>
  <c r="O126" i="61"/>
  <c r="O373" i="61"/>
  <c r="O165" i="61"/>
  <c r="M279" i="61"/>
  <c r="P370" i="61"/>
  <c r="P157" i="61"/>
  <c r="P148" i="61"/>
  <c r="L450" i="61"/>
  <c r="L448" i="61"/>
  <c r="K359" i="61"/>
  <c r="K362" i="61" s="1"/>
  <c r="L358" i="61"/>
  <c r="M358" i="61" s="1"/>
  <c r="N358" i="61" s="1"/>
  <c r="O358" i="61" s="1"/>
  <c r="K408" i="61"/>
  <c r="K411" i="61" s="1"/>
  <c r="K413" i="61" s="1"/>
  <c r="K412" i="61" s="1"/>
  <c r="L414" i="61"/>
  <c r="L69" i="61"/>
  <c r="K335" i="61"/>
  <c r="K336" i="61" s="1"/>
  <c r="K420" i="61"/>
  <c r="K421" i="61" s="1"/>
  <c r="N152" i="61"/>
  <c r="O352" i="61"/>
  <c r="O297" i="61"/>
  <c r="O428" i="61"/>
  <c r="O280" i="61"/>
  <c r="M153" i="61"/>
  <c r="O139" i="61"/>
  <c r="L282" i="61"/>
  <c r="O361" i="61"/>
  <c r="N167" i="61"/>
  <c r="O166" i="61"/>
  <c r="L315" i="61"/>
  <c r="M264" i="61"/>
  <c r="M507" i="61"/>
  <c r="M328" i="61"/>
  <c r="M39" i="61" s="1"/>
  <c r="N130" i="61"/>
  <c r="N132" i="61" s="1"/>
  <c r="L266" i="61"/>
  <c r="L267" i="61" s="1"/>
  <c r="O427" i="61"/>
  <c r="N80" i="61"/>
  <c r="O136" i="61"/>
  <c r="N475" i="61"/>
  <c r="L449" i="61"/>
  <c r="O185" i="61"/>
  <c r="O188" i="61" s="1"/>
  <c r="O179" i="61"/>
  <c r="N114" i="61"/>
  <c r="N515" i="61"/>
  <c r="N324" i="61"/>
  <c r="O323" i="61"/>
  <c r="M342" i="61"/>
  <c r="N429" i="61"/>
  <c r="N210" i="61" s="1"/>
  <c r="O426" i="61"/>
  <c r="O209" i="61" s="1"/>
  <c r="M41" i="61"/>
  <c r="N332" i="61"/>
  <c r="O143" i="61"/>
  <c r="L231" i="61"/>
  <c r="P12" i="61"/>
  <c r="Q11" i="61"/>
  <c r="M93" i="61"/>
  <c r="M106" i="61"/>
  <c r="P177" i="61"/>
  <c r="N462" i="61"/>
  <c r="N110" i="61" s="1"/>
  <c r="O461" i="61"/>
  <c r="L196" i="61"/>
  <c r="M281" i="61"/>
  <c r="Q21" i="61"/>
  <c r="Q18" i="61"/>
  <c r="R17" i="61" s="1"/>
  <c r="R172" i="61" s="1"/>
  <c r="N263" i="61"/>
  <c r="O181" i="61"/>
  <c r="N144" i="61"/>
  <c r="N327" i="61"/>
  <c r="O326" i="61"/>
  <c r="M183" i="61"/>
  <c r="M478" i="61" s="1"/>
  <c r="M85" i="61"/>
  <c r="O15" i="61"/>
  <c r="O14" i="61"/>
  <c r="P13" i="61"/>
  <c r="P129" i="61" s="1"/>
  <c r="O293" i="61"/>
  <c r="O384" i="61"/>
  <c r="N98" i="61"/>
  <c r="O445" i="61"/>
  <c r="N494" i="61"/>
  <c r="N502" i="61" s="1"/>
  <c r="N512" i="61"/>
  <c r="O331" i="61"/>
  <c r="O382" i="61"/>
  <c r="N73" i="61"/>
  <c r="N484" i="61"/>
  <c r="N278" i="61"/>
  <c r="O131" i="61"/>
  <c r="O301" i="61"/>
  <c r="N229" i="61"/>
  <c r="N230" i="61" s="1"/>
  <c r="N231" i="61" s="1"/>
  <c r="O233" i="61"/>
  <c r="G52" i="61"/>
  <c r="G54" i="61" s="1"/>
  <c r="G57" i="61" s="1"/>
  <c r="G59" i="61"/>
  <c r="G62" i="61" s="1"/>
  <c r="G63" i="61" s="1"/>
  <c r="G536" i="61"/>
  <c r="G35" i="61" s="1"/>
  <c r="G530" i="61"/>
  <c r="G44" i="61" s="1"/>
  <c r="G535" i="61"/>
  <c r="G36" i="61" s="1"/>
  <c r="G43" i="61" s="1"/>
  <c r="H497" i="61"/>
  <c r="H48" i="61"/>
  <c r="G529" i="61"/>
  <c r="G45" i="61" s="1"/>
  <c r="G70" i="61"/>
  <c r="G225" i="61"/>
  <c r="H102" i="61"/>
  <c r="H120" i="61"/>
  <c r="P10" i="25"/>
  <c r="I492" i="61" s="1"/>
  <c r="F37" i="26"/>
  <c r="Z27" i="25"/>
  <c r="N168" i="61" l="1"/>
  <c r="S368" i="61"/>
  <c r="S369" i="61"/>
  <c r="S366" i="61"/>
  <c r="J99" i="61"/>
  <c r="J101" i="61" s="1"/>
  <c r="R262" i="61"/>
  <c r="R148" i="61"/>
  <c r="M307" i="61"/>
  <c r="U101" i="64"/>
  <c r="U102" i="64" s="1"/>
  <c r="U532" i="64"/>
  <c r="U534" i="64" s="1"/>
  <c r="U68" i="64"/>
  <c r="U528" i="64"/>
  <c r="O304" i="61"/>
  <c r="O135" i="61" s="1"/>
  <c r="O137" i="61" s="1"/>
  <c r="O140" i="61" s="1"/>
  <c r="N135" i="61"/>
  <c r="N137" i="61" s="1"/>
  <c r="N140" i="61" s="1"/>
  <c r="R253" i="61"/>
  <c r="R256" i="61" s="1"/>
  <c r="R259" i="61" s="1"/>
  <c r="S178" i="61"/>
  <c r="P115" i="61"/>
  <c r="P456" i="61"/>
  <c r="P117" i="61" s="1"/>
  <c r="T175" i="61"/>
  <c r="Q471" i="61"/>
  <c r="R470" i="61"/>
  <c r="T22" i="61"/>
  <c r="S23" i="61"/>
  <c r="T381" i="61"/>
  <c r="U395" i="61"/>
  <c r="U381" i="61" s="1"/>
  <c r="Q399" i="61"/>
  <c r="Q455" i="61"/>
  <c r="Q518" i="61" s="1"/>
  <c r="Q516" i="61"/>
  <c r="R398" i="61"/>
  <c r="T20" i="61"/>
  <c r="T176" i="61" s="1"/>
  <c r="U19" i="61"/>
  <c r="U20" i="61" s="1"/>
  <c r="Q511" i="61"/>
  <c r="R459" i="61"/>
  <c r="Q517" i="61"/>
  <c r="Q403" i="61"/>
  <c r="Q116" i="61" s="1"/>
  <c r="R402" i="61"/>
  <c r="M318" i="61"/>
  <c r="L198" i="61"/>
  <c r="N286" i="61"/>
  <c r="N288" i="61" s="1"/>
  <c r="K451" i="61"/>
  <c r="K61" i="61" s="1"/>
  <c r="P127" i="61"/>
  <c r="P128" i="61"/>
  <c r="P125" i="61"/>
  <c r="P126" i="61"/>
  <c r="P373" i="61"/>
  <c r="M282" i="61"/>
  <c r="Q148" i="61"/>
  <c r="Q165" i="61" s="1"/>
  <c r="Q262" i="61"/>
  <c r="Q370" i="61"/>
  <c r="P165" i="61"/>
  <c r="N153" i="61"/>
  <c r="K422" i="61"/>
  <c r="L203" i="61"/>
  <c r="L508" i="61" s="1"/>
  <c r="L513" i="61" s="1"/>
  <c r="L417" i="61"/>
  <c r="K350" i="61"/>
  <c r="K353" i="61" s="1"/>
  <c r="L349" i="61"/>
  <c r="M448" i="61"/>
  <c r="L341" i="61"/>
  <c r="L336" i="61"/>
  <c r="L376" i="61"/>
  <c r="L362" i="61"/>
  <c r="M362" i="61" s="1"/>
  <c r="N362" i="61" s="1"/>
  <c r="O362" i="61" s="1"/>
  <c r="P362" i="61" s="1"/>
  <c r="Q362" i="61" s="1"/>
  <c r="R362" i="61" s="1"/>
  <c r="S362" i="61" s="1"/>
  <c r="T362" i="61" s="1"/>
  <c r="U362" i="61" s="1"/>
  <c r="L343" i="61"/>
  <c r="M450" i="61"/>
  <c r="P139" i="61"/>
  <c r="N85" i="61"/>
  <c r="P297" i="61"/>
  <c r="P358" i="61"/>
  <c r="P427" i="61"/>
  <c r="O278" i="61"/>
  <c r="P384" i="61"/>
  <c r="O385" i="61"/>
  <c r="N281" i="61"/>
  <c r="R11" i="61"/>
  <c r="Q12" i="61"/>
  <c r="N279" i="61"/>
  <c r="O515" i="61"/>
  <c r="O114" i="61"/>
  <c r="O324" i="61"/>
  <c r="P323" i="61"/>
  <c r="L474" i="61"/>
  <c r="L79" i="61" s="1"/>
  <c r="M449" i="61"/>
  <c r="L451" i="61"/>
  <c r="O80" i="61"/>
  <c r="O475" i="61"/>
  <c r="P136" i="61"/>
  <c r="P361" i="61"/>
  <c r="O229" i="61"/>
  <c r="O230" i="61" s="1"/>
  <c r="O231" i="61" s="1"/>
  <c r="P233" i="61"/>
  <c r="N93" i="61"/>
  <c r="N106" i="61"/>
  <c r="P143" i="61"/>
  <c r="N342" i="61"/>
  <c r="O130" i="61"/>
  <c r="O132" i="61" s="1"/>
  <c r="N307" i="61"/>
  <c r="N314" i="61"/>
  <c r="M266" i="61"/>
  <c r="M267" i="61" s="1"/>
  <c r="M315" i="61"/>
  <c r="N264" i="61"/>
  <c r="P301" i="61"/>
  <c r="P382" i="61"/>
  <c r="O73" i="61"/>
  <c r="O484" i="61"/>
  <c r="P293" i="61"/>
  <c r="N81" i="61"/>
  <c r="O144" i="61"/>
  <c r="P179" i="61"/>
  <c r="P185" i="61"/>
  <c r="P188" i="61" s="1"/>
  <c r="N41" i="61"/>
  <c r="O332" i="61"/>
  <c r="P426" i="61"/>
  <c r="P209" i="61" s="1"/>
  <c r="O429" i="61"/>
  <c r="P352" i="61"/>
  <c r="N507" i="61"/>
  <c r="N328" i="61"/>
  <c r="N39" i="61" s="1"/>
  <c r="O182" i="61"/>
  <c r="P428" i="61"/>
  <c r="O167" i="61"/>
  <c r="O168" i="61" s="1"/>
  <c r="P166" i="61"/>
  <c r="P14" i="61"/>
  <c r="P15" i="61"/>
  <c r="Q13" i="61"/>
  <c r="Q129" i="61" s="1"/>
  <c r="P181" i="61"/>
  <c r="O263" i="61"/>
  <c r="P461" i="61"/>
  <c r="O462" i="61"/>
  <c r="O110" i="61" s="1"/>
  <c r="P131" i="61"/>
  <c r="O512" i="61"/>
  <c r="P331" i="61"/>
  <c r="O98" i="61"/>
  <c r="O494" i="61"/>
  <c r="O502" i="61" s="1"/>
  <c r="P445" i="61"/>
  <c r="O327" i="61"/>
  <c r="P326" i="61"/>
  <c r="R18" i="61"/>
  <c r="S17" i="61" s="1"/>
  <c r="S172" i="61" s="1"/>
  <c r="R21" i="61"/>
  <c r="Q177" i="61"/>
  <c r="P280" i="61"/>
  <c r="L317" i="61"/>
  <c r="L319" i="61" s="1"/>
  <c r="O152" i="61"/>
  <c r="G49" i="61"/>
  <c r="G46" i="61"/>
  <c r="G38" i="61"/>
  <c r="G42" i="61" s="1"/>
  <c r="G121" i="61" s="1"/>
  <c r="H528" i="61"/>
  <c r="H71" i="61" s="1"/>
  <c r="H68" i="61"/>
  <c r="I224" i="61"/>
  <c r="I87" i="61"/>
  <c r="I89" i="61" s="1"/>
  <c r="I90" i="61" s="1"/>
  <c r="G56" i="61"/>
  <c r="H67" i="61"/>
  <c r="H53" i="61" s="1"/>
  <c r="I480" i="61"/>
  <c r="I482" i="61" s="1"/>
  <c r="I489" i="61" s="1"/>
  <c r="G47" i="61"/>
  <c r="G72" i="61"/>
  <c r="G75" i="61" s="1"/>
  <c r="G76" i="61" s="1"/>
  <c r="P11" i="25"/>
  <c r="Q8" i="25"/>
  <c r="Q9" i="25" s="1"/>
  <c r="G34" i="26"/>
  <c r="G35" i="26" s="1"/>
  <c r="F38" i="26"/>
  <c r="AB27" i="25"/>
  <c r="AA27" i="25"/>
  <c r="T366" i="61" l="1"/>
  <c r="T369" i="61"/>
  <c r="T368" i="61"/>
  <c r="J526" i="61"/>
  <c r="J220" i="61"/>
  <c r="J533" i="61"/>
  <c r="I525" i="61"/>
  <c r="I60" i="61"/>
  <c r="I532" i="61"/>
  <c r="I534" i="61" s="1"/>
  <c r="U176" i="61"/>
  <c r="H535" i="61"/>
  <c r="H36" i="61" s="1"/>
  <c r="H43" i="61" s="1"/>
  <c r="S322" i="61"/>
  <c r="S262" i="61"/>
  <c r="U67" i="64"/>
  <c r="U53" i="64" s="1"/>
  <c r="U535" i="64"/>
  <c r="U36" i="64" s="1"/>
  <c r="U59" i="64"/>
  <c r="U71" i="64"/>
  <c r="U52" i="64"/>
  <c r="U530" i="64"/>
  <c r="U44" i="64" s="1"/>
  <c r="U536" i="64"/>
  <c r="U35" i="64" s="1"/>
  <c r="U60" i="64"/>
  <c r="U70" i="64"/>
  <c r="U529" i="64"/>
  <c r="U45" i="64" s="1"/>
  <c r="P304" i="61"/>
  <c r="P306" i="61" s="1"/>
  <c r="O306" i="61"/>
  <c r="O307" i="61" s="1"/>
  <c r="R511" i="61"/>
  <c r="S459" i="61"/>
  <c r="R399" i="61"/>
  <c r="R516" i="61"/>
  <c r="R455" i="61"/>
  <c r="R518" i="61" s="1"/>
  <c r="S398" i="61"/>
  <c r="R471" i="61"/>
  <c r="S470" i="61"/>
  <c r="R517" i="61"/>
  <c r="R403" i="61"/>
  <c r="R116" i="61" s="1"/>
  <c r="S402" i="61"/>
  <c r="U175" i="61"/>
  <c r="S253" i="61"/>
  <c r="S256" i="61" s="1"/>
  <c r="S259" i="61" s="1"/>
  <c r="T178" i="61"/>
  <c r="Q115" i="61"/>
  <c r="Q456" i="61"/>
  <c r="Q117" i="61" s="1"/>
  <c r="T23" i="61"/>
  <c r="U22" i="61"/>
  <c r="U23" i="61" s="1"/>
  <c r="N289" i="61"/>
  <c r="N318" i="61" s="1"/>
  <c r="O286" i="61"/>
  <c r="O288" i="61" s="1"/>
  <c r="Q373" i="61"/>
  <c r="Q125" i="61"/>
  <c r="Q128" i="61"/>
  <c r="Q127" i="61"/>
  <c r="Q126" i="61"/>
  <c r="R370" i="61"/>
  <c r="R157" i="61"/>
  <c r="R165" i="61" s="1"/>
  <c r="R322" i="61"/>
  <c r="L213" i="61"/>
  <c r="L479" i="61" s="1"/>
  <c r="Q280" i="61"/>
  <c r="L353" i="61"/>
  <c r="M353" i="61" s="1"/>
  <c r="N353" i="61" s="1"/>
  <c r="O353" i="61" s="1"/>
  <c r="P353" i="61" s="1"/>
  <c r="Q353" i="61" s="1"/>
  <c r="R353" i="61" s="1"/>
  <c r="S353" i="61" s="1"/>
  <c r="T353" i="61" s="1"/>
  <c r="U353" i="61" s="1"/>
  <c r="M343" i="61"/>
  <c r="N450" i="61"/>
  <c r="L406" i="61"/>
  <c r="L357" i="61"/>
  <c r="L359" i="61" s="1"/>
  <c r="L363" i="61" s="1"/>
  <c r="L348" i="61"/>
  <c r="L380" i="61"/>
  <c r="L383" i="61" s="1"/>
  <c r="L386" i="61" s="1"/>
  <c r="L94" i="61" s="1"/>
  <c r="L335" i="61"/>
  <c r="L420" i="61"/>
  <c r="L344" i="61"/>
  <c r="L514" i="61" s="1"/>
  <c r="L205" i="61"/>
  <c r="L215" i="61" s="1"/>
  <c r="M198" i="61" s="1"/>
  <c r="L204" i="61"/>
  <c r="L214" i="61" s="1"/>
  <c r="K337" i="61"/>
  <c r="M341" i="61"/>
  <c r="N448" i="61"/>
  <c r="L421" i="61"/>
  <c r="L423" i="61" s="1"/>
  <c r="K363" i="61"/>
  <c r="M336" i="61"/>
  <c r="L495" i="61"/>
  <c r="M349" i="61"/>
  <c r="L493" i="61"/>
  <c r="O279" i="61"/>
  <c r="O281" i="61"/>
  <c r="Q297" i="61"/>
  <c r="Q428" i="61"/>
  <c r="Q352" i="61"/>
  <c r="Q293" i="61"/>
  <c r="Q384" i="61"/>
  <c r="L199" i="61"/>
  <c r="L216" i="61"/>
  <c r="P263" i="61"/>
  <c r="Q181" i="61"/>
  <c r="P429" i="61"/>
  <c r="Q426" i="61"/>
  <c r="Q209" i="61" s="1"/>
  <c r="P324" i="61"/>
  <c r="P515" i="61"/>
  <c r="P114" i="61"/>
  <c r="Q323" i="61"/>
  <c r="P152" i="61"/>
  <c r="O153" i="61"/>
  <c r="R177" i="61"/>
  <c r="Q445" i="61"/>
  <c r="Q14" i="61"/>
  <c r="Q15" i="61"/>
  <c r="R13" i="61"/>
  <c r="R129" i="61" s="1"/>
  <c r="O85" i="61"/>
  <c r="O183" i="61"/>
  <c r="O478" i="61" s="1"/>
  <c r="Q301" i="61"/>
  <c r="O342" i="61"/>
  <c r="O210" i="61"/>
  <c r="P229" i="61"/>
  <c r="Q233" i="61"/>
  <c r="Q361" i="61"/>
  <c r="L452" i="61"/>
  <c r="L519" i="61"/>
  <c r="L61" i="61"/>
  <c r="O328" i="61"/>
  <c r="O39" i="61" s="1"/>
  <c r="O507" i="61"/>
  <c r="N282" i="61"/>
  <c r="Q185" i="61"/>
  <c r="Q188" i="61" s="1"/>
  <c r="Q179" i="61"/>
  <c r="Q131" i="61"/>
  <c r="Q382" i="61"/>
  <c r="P484" i="61"/>
  <c r="P73" i="61"/>
  <c r="S21" i="61"/>
  <c r="S18" i="61"/>
  <c r="T17" i="61" s="1"/>
  <c r="T172" i="61" s="1"/>
  <c r="P327" i="61"/>
  <c r="Q326" i="61"/>
  <c r="P512" i="61"/>
  <c r="Q331" i="61"/>
  <c r="P462" i="61"/>
  <c r="P110" i="61" s="1"/>
  <c r="Q461" i="61"/>
  <c r="P167" i="61"/>
  <c r="P168" i="61" s="1"/>
  <c r="Q166" i="61"/>
  <c r="O41" i="61"/>
  <c r="P332" i="61"/>
  <c r="P182" i="61"/>
  <c r="O81" i="61"/>
  <c r="P144" i="61"/>
  <c r="P81" i="61" s="1"/>
  <c r="O264" i="61"/>
  <c r="O266" i="61" s="1"/>
  <c r="N315" i="61"/>
  <c r="Q143" i="61"/>
  <c r="P80" i="61"/>
  <c r="P475" i="61"/>
  <c r="Q136" i="61"/>
  <c r="M474" i="61"/>
  <c r="M79" i="61" s="1"/>
  <c r="N449" i="61"/>
  <c r="M451" i="61"/>
  <c r="R12" i="61"/>
  <c r="S11" i="61"/>
  <c r="P278" i="61"/>
  <c r="L197" i="61"/>
  <c r="M317" i="61"/>
  <c r="P98" i="61"/>
  <c r="P494" i="61"/>
  <c r="P502" i="61" s="1"/>
  <c r="P130" i="61"/>
  <c r="P132" i="61" s="1"/>
  <c r="N266" i="61"/>
  <c r="N267" i="61" s="1"/>
  <c r="P385" i="61"/>
  <c r="Q427" i="61"/>
  <c r="Q358" i="61"/>
  <c r="Q139" i="61"/>
  <c r="H59" i="61"/>
  <c r="H62" i="61" s="1"/>
  <c r="H63" i="61" s="1"/>
  <c r="H52" i="61"/>
  <c r="H54" i="61" s="1"/>
  <c r="H57" i="61" s="1"/>
  <c r="H530" i="61"/>
  <c r="H44" i="61" s="1"/>
  <c r="H536" i="61"/>
  <c r="H35" i="61" s="1"/>
  <c r="Q10" i="25"/>
  <c r="J492" i="61" s="1"/>
  <c r="G7" i="61"/>
  <c r="G8" i="61" s="1"/>
  <c r="I48" i="61"/>
  <c r="I497" i="61"/>
  <c r="H529" i="61"/>
  <c r="H45" i="61" s="1"/>
  <c r="I102" i="61"/>
  <c r="I120" i="61"/>
  <c r="H225" i="61"/>
  <c r="H70" i="61"/>
  <c r="G37" i="26"/>
  <c r="U368" i="61" l="1"/>
  <c r="U369" i="61"/>
  <c r="U366" i="61"/>
  <c r="H38" i="61"/>
  <c r="H42" i="61" s="1"/>
  <c r="H121" i="61" s="1"/>
  <c r="K99" i="61"/>
  <c r="K101" i="61" s="1"/>
  <c r="R373" i="61"/>
  <c r="T157" i="61"/>
  <c r="S148" i="61"/>
  <c r="T322" i="61"/>
  <c r="U62" i="64"/>
  <c r="U72" i="64"/>
  <c r="U75" i="64" s="1"/>
  <c r="U490" i="64" s="1"/>
  <c r="U49" i="64"/>
  <c r="U46" i="64"/>
  <c r="U47" i="64"/>
  <c r="U38" i="64"/>
  <c r="U42" i="64" s="1"/>
  <c r="U43" i="64"/>
  <c r="U54" i="64"/>
  <c r="U56" i="64" s="1"/>
  <c r="P135" i="61"/>
  <c r="P137" i="61" s="1"/>
  <c r="P140" i="61" s="1"/>
  <c r="Q304" i="61"/>
  <c r="Q135" i="61" s="1"/>
  <c r="Q137" i="61" s="1"/>
  <c r="Q140" i="61" s="1"/>
  <c r="O314" i="61"/>
  <c r="S471" i="61"/>
  <c r="T470" i="61"/>
  <c r="S517" i="61"/>
  <c r="T402" i="61"/>
  <c r="S403" i="61"/>
  <c r="S116" i="61" s="1"/>
  <c r="R456" i="61"/>
  <c r="R117" i="61" s="1"/>
  <c r="R115" i="61"/>
  <c r="U178" i="61"/>
  <c r="T253" i="61"/>
  <c r="T256" i="61" s="1"/>
  <c r="T259" i="61" s="1"/>
  <c r="S399" i="61"/>
  <c r="S516" i="61"/>
  <c r="S455" i="61"/>
  <c r="S518" i="61" s="1"/>
  <c r="T398" i="61"/>
  <c r="S511" i="61"/>
  <c r="T459" i="61"/>
  <c r="O289" i="61"/>
  <c r="O318" i="61" s="1"/>
  <c r="P286" i="61"/>
  <c r="P288" i="61" s="1"/>
  <c r="Q182" i="61"/>
  <c r="R301" i="61"/>
  <c r="R127" i="61"/>
  <c r="R128" i="61"/>
  <c r="R125" i="61"/>
  <c r="R126" i="61"/>
  <c r="L520" i="61"/>
  <c r="S157" i="61"/>
  <c r="S370" i="61"/>
  <c r="M196" i="61"/>
  <c r="K354" i="61"/>
  <c r="L496" i="61"/>
  <c r="L95" i="61"/>
  <c r="M493" i="61"/>
  <c r="N349" i="61"/>
  <c r="M69" i="61"/>
  <c r="M376" i="61" s="1"/>
  <c r="L350" i="61"/>
  <c r="L354" i="61" s="1"/>
  <c r="L485" i="61"/>
  <c r="M421" i="61"/>
  <c r="L422" i="61"/>
  <c r="M495" i="61"/>
  <c r="N336" i="61"/>
  <c r="O448" i="61"/>
  <c r="N341" i="61"/>
  <c r="L206" i="61"/>
  <c r="L105" i="61" s="1"/>
  <c r="L375" i="61"/>
  <c r="L74" i="61"/>
  <c r="L337" i="61"/>
  <c r="L338" i="61" s="1"/>
  <c r="L377" i="61"/>
  <c r="L412" i="61"/>
  <c r="M344" i="61"/>
  <c r="M514" i="61" s="1"/>
  <c r="N343" i="61"/>
  <c r="O450" i="61"/>
  <c r="O282" i="61"/>
  <c r="R297" i="61"/>
  <c r="L217" i="61"/>
  <c r="P279" i="61"/>
  <c r="Q385" i="61"/>
  <c r="R361" i="61"/>
  <c r="R352" i="61"/>
  <c r="Q152" i="61"/>
  <c r="M319" i="61"/>
  <c r="M216" i="61" s="1"/>
  <c r="N317" i="61"/>
  <c r="M519" i="61"/>
  <c r="M452" i="61"/>
  <c r="M118" i="61" s="1"/>
  <c r="M61" i="61"/>
  <c r="P85" i="61"/>
  <c r="P183" i="61"/>
  <c r="P478" i="61" s="1"/>
  <c r="Q512" i="61"/>
  <c r="R331" i="61"/>
  <c r="T18" i="61"/>
  <c r="U17" i="61" s="1"/>
  <c r="T21" i="61"/>
  <c r="O106" i="61"/>
  <c r="P210" i="61"/>
  <c r="P93" i="61" s="1"/>
  <c r="Q98" i="61"/>
  <c r="Q494" i="61"/>
  <c r="Q502" i="61" s="1"/>
  <c r="R445" i="61"/>
  <c r="R358" i="61"/>
  <c r="M197" i="61"/>
  <c r="L200" i="61"/>
  <c r="L86" i="61" s="1"/>
  <c r="N474" i="61"/>
  <c r="N79" i="61" s="1"/>
  <c r="O449" i="61"/>
  <c r="N451" i="61"/>
  <c r="P264" i="61"/>
  <c r="P266" i="61" s="1"/>
  <c r="O315" i="61"/>
  <c r="R428" i="61"/>
  <c r="R14" i="61"/>
  <c r="R15" i="61"/>
  <c r="S13" i="61"/>
  <c r="S129" i="61" s="1"/>
  <c r="R384" i="61"/>
  <c r="P328" i="61"/>
  <c r="P39" i="61" s="1"/>
  <c r="P507" i="61"/>
  <c r="Q263" i="61"/>
  <c r="R181" i="61"/>
  <c r="R427" i="61"/>
  <c r="O93" i="61"/>
  <c r="R280" i="61"/>
  <c r="S12" i="61"/>
  <c r="T11" i="61"/>
  <c r="Q144" i="61"/>
  <c r="R143" i="61"/>
  <c r="P41" i="61"/>
  <c r="Q332" i="61"/>
  <c r="Q462" i="61"/>
  <c r="Q110" i="61" s="1"/>
  <c r="R461" i="61"/>
  <c r="Q327" i="61"/>
  <c r="R326" i="61"/>
  <c r="R382" i="61"/>
  <c r="Q484" i="61"/>
  <c r="Q73" i="61"/>
  <c r="R131" i="61"/>
  <c r="Q229" i="61"/>
  <c r="Q230" i="61" s="1"/>
  <c r="Q231" i="61" s="1"/>
  <c r="R233" i="61"/>
  <c r="P342" i="61"/>
  <c r="Q324" i="61"/>
  <c r="Q515" i="61"/>
  <c r="Q114" i="61"/>
  <c r="R323" i="61"/>
  <c r="Q429" i="61"/>
  <c r="R426" i="61"/>
  <c r="R209" i="61" s="1"/>
  <c r="P307" i="61"/>
  <c r="P314" i="61"/>
  <c r="Q167" i="61"/>
  <c r="Q168" i="61" s="1"/>
  <c r="R166" i="61"/>
  <c r="L118" i="61"/>
  <c r="L345" i="61"/>
  <c r="S177" i="61"/>
  <c r="O267" i="61"/>
  <c r="R139" i="61"/>
  <c r="Q130" i="61"/>
  <c r="Q132" i="61" s="1"/>
  <c r="Q278" i="61"/>
  <c r="Q475" i="61"/>
  <c r="Q80" i="61"/>
  <c r="R136" i="61"/>
  <c r="P281" i="61"/>
  <c r="P230" i="61"/>
  <c r="P231" i="61" s="1"/>
  <c r="R185" i="61"/>
  <c r="R188" i="61" s="1"/>
  <c r="R179" i="61"/>
  <c r="P153" i="61"/>
  <c r="R293" i="61"/>
  <c r="H72" i="61"/>
  <c r="H75" i="61" s="1"/>
  <c r="H76" i="61" s="1"/>
  <c r="Q11" i="25"/>
  <c r="R8" i="25"/>
  <c r="R9" i="25" s="1"/>
  <c r="I67" i="61"/>
  <c r="I53" i="61" s="1"/>
  <c r="J87" i="61"/>
  <c r="J89" i="61" s="1"/>
  <c r="J90" i="61" s="1"/>
  <c r="H47" i="61"/>
  <c r="I527" i="61"/>
  <c r="J480" i="61"/>
  <c r="J482" i="61" s="1"/>
  <c r="J489" i="61" s="1"/>
  <c r="H56" i="61"/>
  <c r="H49" i="61"/>
  <c r="H46" i="61"/>
  <c r="J224" i="61"/>
  <c r="G38" i="26"/>
  <c r="J525" i="61" l="1"/>
  <c r="J527" i="61" s="1"/>
  <c r="J528" i="61" s="1"/>
  <c r="J71" i="61" s="1"/>
  <c r="J60" i="61"/>
  <c r="J532" i="61"/>
  <c r="J534" i="61" s="1"/>
  <c r="J67" i="61" s="1"/>
  <c r="J53" i="61" s="1"/>
  <c r="K220" i="61"/>
  <c r="K224" i="61" s="1"/>
  <c r="K526" i="61"/>
  <c r="K480" i="61" s="1"/>
  <c r="K482" i="61" s="1"/>
  <c r="K489" i="61" s="1"/>
  <c r="K533" i="61"/>
  <c r="U172" i="61"/>
  <c r="U253" i="61"/>
  <c r="S373" i="61"/>
  <c r="U322" i="61"/>
  <c r="U157" i="61"/>
  <c r="S165" i="61"/>
  <c r="U7" i="64"/>
  <c r="U8" i="64" s="1"/>
  <c r="U64" i="64"/>
  <c r="U522" i="64"/>
  <c r="U121" i="64"/>
  <c r="U58" i="64"/>
  <c r="Q306" i="61"/>
  <c r="Q314" i="61" s="1"/>
  <c r="R304" i="61"/>
  <c r="R135" i="61" s="1"/>
  <c r="R137" i="61" s="1"/>
  <c r="R140" i="61" s="1"/>
  <c r="T403" i="61"/>
  <c r="T116" i="61" s="1"/>
  <c r="U402" i="61"/>
  <c r="T517" i="61"/>
  <c r="U459" i="61"/>
  <c r="T511" i="61"/>
  <c r="S115" i="61"/>
  <c r="S456" i="61"/>
  <c r="S117" i="61" s="1"/>
  <c r="U470" i="61"/>
  <c r="T471" i="61"/>
  <c r="T516" i="61"/>
  <c r="U398" i="61"/>
  <c r="T455" i="61"/>
  <c r="T518" i="61" s="1"/>
  <c r="T399" i="61"/>
  <c r="P289" i="61"/>
  <c r="P318" i="61" s="1"/>
  <c r="Q286" i="61"/>
  <c r="Q288" i="61" s="1"/>
  <c r="R182" i="61"/>
  <c r="R183" i="61" s="1"/>
  <c r="R478" i="61" s="1"/>
  <c r="S125" i="61"/>
  <c r="S128" i="61"/>
  <c r="S127" i="61"/>
  <c r="S126" i="61"/>
  <c r="T148" i="61"/>
  <c r="T165" i="61" s="1"/>
  <c r="T370" i="61"/>
  <c r="T373" i="61" s="1"/>
  <c r="U262" i="61"/>
  <c r="M420" i="61"/>
  <c r="M422" i="61" s="1"/>
  <c r="T262" i="61"/>
  <c r="M335" i="61"/>
  <c r="M337" i="61" s="1"/>
  <c r="M338" i="61" s="1"/>
  <c r="M357" i="61"/>
  <c r="M359" i="61" s="1"/>
  <c r="M363" i="61" s="1"/>
  <c r="M380" i="61"/>
  <c r="M383" i="61" s="1"/>
  <c r="M386" i="61" s="1"/>
  <c r="M94" i="61" s="1"/>
  <c r="M348" i="61"/>
  <c r="N69" i="61" s="1"/>
  <c r="N376" i="61" s="1"/>
  <c r="L92" i="61"/>
  <c r="M406" i="61"/>
  <c r="M496" i="61"/>
  <c r="S361" i="61"/>
  <c r="M520" i="61"/>
  <c r="N344" i="61"/>
  <c r="N514" i="61" s="1"/>
  <c r="O341" i="61"/>
  <c r="P448" i="61"/>
  <c r="M485" i="61"/>
  <c r="N421" i="61"/>
  <c r="L413" i="61"/>
  <c r="L407" i="61" s="1"/>
  <c r="L415" i="61"/>
  <c r="N495" i="61"/>
  <c r="O336" i="61"/>
  <c r="M423" i="61"/>
  <c r="M95" i="61" s="1"/>
  <c r="O343" i="61"/>
  <c r="P450" i="61"/>
  <c r="N493" i="61"/>
  <c r="O349" i="61"/>
  <c r="Q153" i="61"/>
  <c r="P282" i="61"/>
  <c r="S297" i="61"/>
  <c r="S139" i="61"/>
  <c r="S280" i="61"/>
  <c r="S293" i="61"/>
  <c r="S131" i="61"/>
  <c r="S352" i="61"/>
  <c r="P267" i="61"/>
  <c r="S301" i="61"/>
  <c r="Q342" i="61"/>
  <c r="Q41" i="61"/>
  <c r="R332" i="61"/>
  <c r="Q264" i="61"/>
  <c r="P315" i="61"/>
  <c r="M199" i="61"/>
  <c r="M200" i="61" s="1"/>
  <c r="Q183" i="61"/>
  <c r="Q478" i="61" s="1"/>
  <c r="Q85" i="61"/>
  <c r="R130" i="61"/>
  <c r="R132" i="61" s="1"/>
  <c r="U177" i="61"/>
  <c r="T177" i="61"/>
  <c r="R167" i="61"/>
  <c r="R168" i="61" s="1"/>
  <c r="S166" i="61"/>
  <c r="R324" i="61"/>
  <c r="R114" i="61"/>
  <c r="R515" i="61"/>
  <c r="S323" i="61"/>
  <c r="R229" i="61"/>
  <c r="R230" i="61" s="1"/>
  <c r="R231" i="61" s="1"/>
  <c r="S233" i="61"/>
  <c r="R462" i="61"/>
  <c r="R110" i="61" s="1"/>
  <c r="S461" i="61"/>
  <c r="T12" i="61"/>
  <c r="U11" i="61"/>
  <c r="N519" i="61"/>
  <c r="N452" i="61"/>
  <c r="N118" i="61" s="1"/>
  <c r="N61" i="61"/>
  <c r="R98" i="61"/>
  <c r="R494" i="61"/>
  <c r="R502" i="61" s="1"/>
  <c r="S445" i="61"/>
  <c r="P106" i="61"/>
  <c r="S185" i="61"/>
  <c r="S188" i="61" s="1"/>
  <c r="S179" i="61"/>
  <c r="Q507" i="61"/>
  <c r="Q328" i="61"/>
  <c r="Q39" i="61" s="1"/>
  <c r="Q81" i="61"/>
  <c r="R144" i="61"/>
  <c r="R81" i="61" s="1"/>
  <c r="R512" i="61"/>
  <c r="S331" i="61"/>
  <c r="Q281" i="61"/>
  <c r="R278" i="61"/>
  <c r="M345" i="61"/>
  <c r="L113" i="61"/>
  <c r="L119" i="61" s="1"/>
  <c r="R429" i="61"/>
  <c r="S426" i="61"/>
  <c r="S209" i="61" s="1"/>
  <c r="S382" i="61"/>
  <c r="R484" i="61"/>
  <c r="R73" i="61"/>
  <c r="S143" i="61"/>
  <c r="S428" i="61"/>
  <c r="P449" i="61"/>
  <c r="O474" i="61"/>
  <c r="O79" i="61" s="1"/>
  <c r="O451" i="61"/>
  <c r="Q210" i="61"/>
  <c r="Q93" i="61" s="1"/>
  <c r="R475" i="61"/>
  <c r="R80" i="61"/>
  <c r="S136" i="61"/>
  <c r="R327" i="61"/>
  <c r="S326" i="61"/>
  <c r="R263" i="61"/>
  <c r="S181" i="61"/>
  <c r="R385" i="61"/>
  <c r="S384" i="61"/>
  <c r="S427" i="61"/>
  <c r="T13" i="61"/>
  <c r="T129" i="61" s="1"/>
  <c r="S14" i="61"/>
  <c r="S15" i="61"/>
  <c r="S358" i="61"/>
  <c r="R152" i="61"/>
  <c r="U18" i="61"/>
  <c r="U21" i="61"/>
  <c r="N319" i="61"/>
  <c r="O317" i="61"/>
  <c r="Q279" i="61"/>
  <c r="H7" i="61"/>
  <c r="H8" i="61" s="1"/>
  <c r="R10" i="25"/>
  <c r="K492" i="61" s="1"/>
  <c r="K87" i="61"/>
  <c r="K89" i="61" s="1"/>
  <c r="K90" i="61" s="1"/>
  <c r="I68" i="61"/>
  <c r="I528" i="61"/>
  <c r="I71" i="61" s="1"/>
  <c r="J102" i="61"/>
  <c r="J120" i="61"/>
  <c r="J48" i="61"/>
  <c r="J497" i="61"/>
  <c r="U511" i="61" l="1"/>
  <c r="U256" i="61"/>
  <c r="U12" i="61"/>
  <c r="I529" i="61"/>
  <c r="I45" i="61" s="1"/>
  <c r="I49" i="61" s="1"/>
  <c r="Q307" i="61"/>
  <c r="S304" i="61"/>
  <c r="S306" i="61" s="1"/>
  <c r="R306" i="61"/>
  <c r="R314" i="61" s="1"/>
  <c r="U455" i="61"/>
  <c r="U516" i="61"/>
  <c r="U399" i="61"/>
  <c r="T456" i="61"/>
  <c r="T117" i="61" s="1"/>
  <c r="T115" i="61"/>
  <c r="U403" i="61"/>
  <c r="U517" i="61"/>
  <c r="U471" i="61"/>
  <c r="Q289" i="61"/>
  <c r="Q318" i="61" s="1"/>
  <c r="R286" i="61"/>
  <c r="R288" i="61" s="1"/>
  <c r="S182" i="61"/>
  <c r="T127" i="61"/>
  <c r="T128" i="61"/>
  <c r="T125" i="61"/>
  <c r="T126" i="61"/>
  <c r="M377" i="61"/>
  <c r="U370" i="61"/>
  <c r="U148" i="61"/>
  <c r="M375" i="61"/>
  <c r="M350" i="61"/>
  <c r="M354" i="61" s="1"/>
  <c r="M92" i="61" s="1"/>
  <c r="N496" i="61"/>
  <c r="M74" i="61"/>
  <c r="R85" i="61"/>
  <c r="N406" i="61"/>
  <c r="N348" i="61"/>
  <c r="N350" i="61" s="1"/>
  <c r="N354" i="61" s="1"/>
  <c r="N520" i="61"/>
  <c r="N357" i="61"/>
  <c r="N359" i="61" s="1"/>
  <c r="N363" i="61" s="1"/>
  <c r="L416" i="61"/>
  <c r="L410" i="61" s="1"/>
  <c r="N423" i="61"/>
  <c r="O421" i="61"/>
  <c r="N485" i="61"/>
  <c r="P349" i="61"/>
  <c r="O493" i="61"/>
  <c r="M414" i="61"/>
  <c r="L483" i="61"/>
  <c r="L408" i="61"/>
  <c r="Q450" i="61"/>
  <c r="P343" i="61"/>
  <c r="O495" i="61"/>
  <c r="P336" i="61"/>
  <c r="Q448" i="61"/>
  <c r="P341" i="61"/>
  <c r="N420" i="61"/>
  <c r="N422" i="61" s="1"/>
  <c r="O344" i="61"/>
  <c r="O514" i="61" s="1"/>
  <c r="N380" i="61"/>
  <c r="N383" i="61" s="1"/>
  <c r="N386" i="61" s="1"/>
  <c r="N94" i="61" s="1"/>
  <c r="N335" i="61"/>
  <c r="T297" i="61"/>
  <c r="S152" i="61"/>
  <c r="T427" i="61"/>
  <c r="R281" i="61"/>
  <c r="T352" i="61"/>
  <c r="N216" i="61"/>
  <c r="T358" i="61"/>
  <c r="S327" i="61"/>
  <c r="T326" i="61"/>
  <c r="O519" i="61"/>
  <c r="O452" i="61"/>
  <c r="O118" i="61" s="1"/>
  <c r="O61" i="61"/>
  <c r="T428" i="61"/>
  <c r="S144" i="61"/>
  <c r="T143" i="61"/>
  <c r="S278" i="61"/>
  <c r="S512" i="61"/>
  <c r="T331" i="61"/>
  <c r="S462" i="61"/>
  <c r="S110" i="61" s="1"/>
  <c r="T461" i="61"/>
  <c r="Q315" i="61"/>
  <c r="R264" i="61"/>
  <c r="R315" i="61" s="1"/>
  <c r="Q282" i="61"/>
  <c r="R279" i="61"/>
  <c r="T14" i="61"/>
  <c r="T15" i="61"/>
  <c r="U13" i="61"/>
  <c r="S263" i="61"/>
  <c r="T181" i="61"/>
  <c r="T382" i="61"/>
  <c r="S484" i="61"/>
  <c r="S73" i="61"/>
  <c r="S229" i="61"/>
  <c r="T233" i="61"/>
  <c r="T185" i="61"/>
  <c r="T188" i="61" s="1"/>
  <c r="T179" i="61"/>
  <c r="S130" i="61"/>
  <c r="S132" i="61" s="1"/>
  <c r="R153" i="61"/>
  <c r="Q266" i="61"/>
  <c r="Q267" i="61" s="1"/>
  <c r="T361" i="61"/>
  <c r="O319" i="61"/>
  <c r="P317" i="61"/>
  <c r="P474" i="61"/>
  <c r="P79" i="61" s="1"/>
  <c r="Q449" i="61"/>
  <c r="P451" i="61"/>
  <c r="T131" i="61"/>
  <c r="N345" i="61"/>
  <c r="M113" i="61"/>
  <c r="M119" i="61" s="1"/>
  <c r="T301" i="61"/>
  <c r="T293" i="61"/>
  <c r="S494" i="61"/>
  <c r="S502" i="61" s="1"/>
  <c r="S98" i="61"/>
  <c r="T445" i="61"/>
  <c r="R507" i="61"/>
  <c r="R328" i="61"/>
  <c r="R39" i="61" s="1"/>
  <c r="U179" i="61"/>
  <c r="U185" i="61"/>
  <c r="N199" i="61"/>
  <c r="R342" i="61"/>
  <c r="S385" i="61"/>
  <c r="T384" i="61"/>
  <c r="T280" i="61"/>
  <c r="S475" i="61"/>
  <c r="T136" i="61"/>
  <c r="S80" i="61"/>
  <c r="Q106" i="61"/>
  <c r="R210" i="61"/>
  <c r="T426" i="61"/>
  <c r="T209" i="61" s="1"/>
  <c r="S429" i="61"/>
  <c r="S324" i="61"/>
  <c r="T323" i="61"/>
  <c r="S515" i="61"/>
  <c r="S114" i="61"/>
  <c r="S167" i="61"/>
  <c r="S168" i="61" s="1"/>
  <c r="T166" i="61"/>
  <c r="R41" i="61"/>
  <c r="S332" i="61"/>
  <c r="T139" i="61"/>
  <c r="K497" i="61"/>
  <c r="R11" i="25"/>
  <c r="K48" i="61"/>
  <c r="I70" i="61"/>
  <c r="I225" i="61"/>
  <c r="K102" i="61"/>
  <c r="K120" i="61"/>
  <c r="J52" i="61"/>
  <c r="J54" i="61" s="1"/>
  <c r="J57" i="61" s="1"/>
  <c r="J59" i="61"/>
  <c r="J62" i="61" s="1"/>
  <c r="J63" i="61" s="1"/>
  <c r="J536" i="61"/>
  <c r="J35" i="61" s="1"/>
  <c r="J530" i="61"/>
  <c r="J44" i="61" s="1"/>
  <c r="J535" i="61"/>
  <c r="J36" i="61" s="1"/>
  <c r="J43" i="61" s="1"/>
  <c r="I59" i="61"/>
  <c r="I62" i="61" s="1"/>
  <c r="I63" i="61" s="1"/>
  <c r="I52" i="61"/>
  <c r="I54" i="61" s="1"/>
  <c r="I57" i="61" s="1"/>
  <c r="I536" i="61"/>
  <c r="I35" i="61" s="1"/>
  <c r="I530" i="61"/>
  <c r="I44" i="61" s="1"/>
  <c r="I535" i="61"/>
  <c r="I36" i="61" s="1"/>
  <c r="I43" i="61" s="1"/>
  <c r="J68" i="61"/>
  <c r="J225" i="61" s="1"/>
  <c r="J529" i="61"/>
  <c r="J45" i="61" s="1"/>
  <c r="K60" i="61" l="1"/>
  <c r="K532" i="61"/>
  <c r="K534" i="61" s="1"/>
  <c r="K525" i="61"/>
  <c r="K527" i="61" s="1"/>
  <c r="K528" i="61" s="1"/>
  <c r="K71" i="61" s="1"/>
  <c r="I47" i="61"/>
  <c r="U129" i="61"/>
  <c r="U165" i="61"/>
  <c r="U116" i="61"/>
  <c r="U188" i="61"/>
  <c r="U259" i="61"/>
  <c r="U373" i="61"/>
  <c r="U518" i="61"/>
  <c r="S135" i="61"/>
  <c r="S137" i="61" s="1"/>
  <c r="S140" i="61" s="1"/>
  <c r="T304" i="61"/>
  <c r="T306" i="61" s="1"/>
  <c r="R307" i="61"/>
  <c r="U115" i="61"/>
  <c r="U456" i="61"/>
  <c r="R289" i="61"/>
  <c r="R318" i="61" s="1"/>
  <c r="S286" i="61"/>
  <c r="S288" i="61" s="1"/>
  <c r="T182" i="61"/>
  <c r="U127" i="61"/>
  <c r="U125" i="61"/>
  <c r="U128" i="61"/>
  <c r="U126" i="61"/>
  <c r="L409" i="61"/>
  <c r="L411" i="61" s="1"/>
  <c r="O69" i="61"/>
  <c r="O420" i="61" s="1"/>
  <c r="O422" i="61" s="1"/>
  <c r="N92" i="61"/>
  <c r="S153" i="61"/>
  <c r="O520" i="61"/>
  <c r="P344" i="61"/>
  <c r="P514" i="61" s="1"/>
  <c r="Q349" i="61"/>
  <c r="P493" i="61"/>
  <c r="N95" i="61"/>
  <c r="O423" i="61"/>
  <c r="N375" i="61"/>
  <c r="N74" i="61"/>
  <c r="N337" i="61"/>
  <c r="N338" i="61" s="1"/>
  <c r="Q341" i="61"/>
  <c r="R448" i="61"/>
  <c r="Q343" i="61"/>
  <c r="R450" i="61"/>
  <c r="L488" i="61"/>
  <c r="L501" i="61"/>
  <c r="N377" i="61"/>
  <c r="L40" i="61"/>
  <c r="L37" i="61"/>
  <c r="L55" i="61"/>
  <c r="P495" i="61"/>
  <c r="Q336" i="61"/>
  <c r="M203" i="61"/>
  <c r="M412" i="61"/>
  <c r="M413" i="61" s="1"/>
  <c r="M407" i="61" s="1"/>
  <c r="O496" i="61"/>
  <c r="P421" i="61"/>
  <c r="O485" i="61"/>
  <c r="U352" i="61"/>
  <c r="U384" i="61"/>
  <c r="O216" i="61"/>
  <c r="U293" i="61"/>
  <c r="U131" i="61"/>
  <c r="S264" i="61"/>
  <c r="S315" i="61" s="1"/>
  <c r="S281" i="61"/>
  <c r="R266" i="61"/>
  <c r="R267" i="61" s="1"/>
  <c r="R282" i="61"/>
  <c r="T385" i="61"/>
  <c r="U301" i="61"/>
  <c r="U427" i="61"/>
  <c r="U361" i="61"/>
  <c r="U139" i="61"/>
  <c r="U280" i="61"/>
  <c r="S81" i="61"/>
  <c r="T144" i="61"/>
  <c r="S41" i="61"/>
  <c r="T332" i="61"/>
  <c r="T80" i="61"/>
  <c r="T475" i="61"/>
  <c r="U136" i="61"/>
  <c r="T98" i="61"/>
  <c r="T494" i="61"/>
  <c r="T502" i="61" s="1"/>
  <c r="U445" i="61"/>
  <c r="S85" i="61"/>
  <c r="S183" i="61"/>
  <c r="S478" i="61" s="1"/>
  <c r="T130" i="61"/>
  <c r="T132" i="61" s="1"/>
  <c r="T229" i="61"/>
  <c r="T230" i="61" s="1"/>
  <c r="T231" i="61" s="1"/>
  <c r="U233" i="61"/>
  <c r="T278" i="61"/>
  <c r="U428" i="61"/>
  <c r="U358" i="61"/>
  <c r="Q474" i="61"/>
  <c r="Q79" i="61" s="1"/>
  <c r="Q451" i="61"/>
  <c r="T263" i="61"/>
  <c r="U181" i="61"/>
  <c r="T167" i="61"/>
  <c r="T168" i="61" s="1"/>
  <c r="U166" i="61"/>
  <c r="U323" i="61"/>
  <c r="T114" i="61"/>
  <c r="T324" i="61"/>
  <c r="T515" i="61"/>
  <c r="S210" i="61"/>
  <c r="R106" i="61"/>
  <c r="R449" i="61"/>
  <c r="S342" i="61"/>
  <c r="S230" i="61"/>
  <c r="S231" i="61" s="1"/>
  <c r="U14" i="61"/>
  <c r="U15" i="61"/>
  <c r="R93" i="61"/>
  <c r="P319" i="61"/>
  <c r="Q317" i="61"/>
  <c r="Q319" i="61" s="1"/>
  <c r="U382" i="61"/>
  <c r="T484" i="61"/>
  <c r="T73" i="61"/>
  <c r="T327" i="61"/>
  <c r="U326" i="61"/>
  <c r="S507" i="61"/>
  <c r="S328" i="61"/>
  <c r="S39" i="61" s="1"/>
  <c r="U426" i="61"/>
  <c r="T429" i="61"/>
  <c r="O199" i="61"/>
  <c r="N113" i="61"/>
  <c r="N119" i="61" s="1"/>
  <c r="O345" i="61"/>
  <c r="P519" i="61"/>
  <c r="P452" i="61"/>
  <c r="P118" i="61" s="1"/>
  <c r="P61" i="61"/>
  <c r="T152" i="61"/>
  <c r="S279" i="61"/>
  <c r="T462" i="61"/>
  <c r="T110" i="61" s="1"/>
  <c r="U461" i="61"/>
  <c r="T512" i="61"/>
  <c r="U331" i="61"/>
  <c r="U143" i="61"/>
  <c r="S314" i="61"/>
  <c r="S307" i="61"/>
  <c r="U297" i="61"/>
  <c r="I38" i="61"/>
  <c r="I42" i="61" s="1"/>
  <c r="I121" i="61" s="1"/>
  <c r="J46" i="61"/>
  <c r="J49" i="61"/>
  <c r="J56" i="61"/>
  <c r="J70" i="61"/>
  <c r="J72" i="61" s="1"/>
  <c r="J75" i="61" s="1"/>
  <c r="J76" i="61" s="1"/>
  <c r="I56" i="61"/>
  <c r="J47" i="61"/>
  <c r="I46" i="61"/>
  <c r="J38" i="61"/>
  <c r="J42" i="61" s="1"/>
  <c r="J121" i="61" s="1"/>
  <c r="I72" i="61"/>
  <c r="I75" i="61" s="1"/>
  <c r="I76" i="61" s="1"/>
  <c r="U167" i="61" l="1"/>
  <c r="U512" i="61"/>
  <c r="U462" i="61"/>
  <c r="U117" i="61"/>
  <c r="U209" i="61"/>
  <c r="U263" i="61"/>
  <c r="T135" i="61"/>
  <c r="T137" i="61" s="1"/>
  <c r="T140" i="61" s="1"/>
  <c r="U304" i="61"/>
  <c r="S289" i="61"/>
  <c r="S318" i="61" s="1"/>
  <c r="T286" i="61"/>
  <c r="T288" i="61" s="1"/>
  <c r="U286" i="61"/>
  <c r="O357" i="61"/>
  <c r="O359" i="61" s="1"/>
  <c r="O363" i="61" s="1"/>
  <c r="M417" i="61"/>
  <c r="M205" i="61" s="1"/>
  <c r="O348" i="61"/>
  <c r="O350" i="61" s="1"/>
  <c r="O354" i="61" s="1"/>
  <c r="O335" i="61"/>
  <c r="O337" i="61" s="1"/>
  <c r="O338" i="61" s="1"/>
  <c r="O380" i="61"/>
  <c r="O383" i="61" s="1"/>
  <c r="O386" i="61" s="1"/>
  <c r="O94" i="61" s="1"/>
  <c r="L91" i="61"/>
  <c r="L97" i="61" s="1"/>
  <c r="O376" i="61"/>
  <c r="O406" i="61"/>
  <c r="O377" i="61" s="1"/>
  <c r="P520" i="61"/>
  <c r="R336" i="61"/>
  <c r="Q495" i="61"/>
  <c r="P496" i="61"/>
  <c r="M408" i="61"/>
  <c r="M483" i="61"/>
  <c r="R341" i="61"/>
  <c r="S448" i="61"/>
  <c r="Q493" i="61"/>
  <c r="R349" i="61"/>
  <c r="N414" i="61"/>
  <c r="L100" i="61"/>
  <c r="L111" i="61"/>
  <c r="L112" i="61" s="1"/>
  <c r="Q344" i="61"/>
  <c r="Q514" i="61" s="1"/>
  <c r="O95" i="61"/>
  <c r="P423" i="61"/>
  <c r="P485" i="61"/>
  <c r="Q421" i="61"/>
  <c r="M508" i="61"/>
  <c r="M513" i="61" s="1"/>
  <c r="M213" i="61"/>
  <c r="N196" i="61" s="1"/>
  <c r="L104" i="61"/>
  <c r="S450" i="61"/>
  <c r="R343" i="61"/>
  <c r="U152" i="61"/>
  <c r="S266" i="61"/>
  <c r="S267" i="61" s="1"/>
  <c r="S282" i="61"/>
  <c r="T264" i="61"/>
  <c r="T315" i="61" s="1"/>
  <c r="U385" i="61"/>
  <c r="T281" i="61"/>
  <c r="U229" i="61"/>
  <c r="R474" i="61"/>
  <c r="R79" i="61" s="1"/>
  <c r="R451" i="61"/>
  <c r="P345" i="61"/>
  <c r="O113" i="61"/>
  <c r="O119" i="61" s="1"/>
  <c r="T314" i="61"/>
  <c r="T307" i="61"/>
  <c r="U324" i="61"/>
  <c r="U515" i="61"/>
  <c r="U114" i="61"/>
  <c r="T81" i="61"/>
  <c r="U144" i="61"/>
  <c r="U278" i="61"/>
  <c r="P199" i="61"/>
  <c r="U429" i="61"/>
  <c r="U73" i="61"/>
  <c r="U484" i="61"/>
  <c r="R317" i="61"/>
  <c r="R319" i="61" s="1"/>
  <c r="U130" i="61"/>
  <c r="U182" i="61"/>
  <c r="T153" i="61"/>
  <c r="T85" i="61"/>
  <c r="T183" i="61"/>
  <c r="T478" i="61" s="1"/>
  <c r="S106" i="61"/>
  <c r="T210" i="61"/>
  <c r="T279" i="61"/>
  <c r="U327" i="61"/>
  <c r="S449" i="61"/>
  <c r="T342" i="61"/>
  <c r="S93" i="61"/>
  <c r="T507" i="61"/>
  <c r="T328" i="61"/>
  <c r="T39" i="61" s="1"/>
  <c r="Q452" i="61"/>
  <c r="Q118" i="61" s="1"/>
  <c r="Q519" i="61"/>
  <c r="Q61" i="61"/>
  <c r="U494" i="61"/>
  <c r="U98" i="61"/>
  <c r="U475" i="61"/>
  <c r="U80" i="61"/>
  <c r="U332" i="61"/>
  <c r="T41" i="61"/>
  <c r="P216" i="61"/>
  <c r="J7" i="61"/>
  <c r="J8" i="61" s="1"/>
  <c r="K530" i="61"/>
  <c r="K44" i="61" s="1"/>
  <c r="K52" i="61"/>
  <c r="K59" i="61"/>
  <c r="K62" i="61" s="1"/>
  <c r="K63" i="61" s="1"/>
  <c r="K536" i="61"/>
  <c r="K35" i="61" s="1"/>
  <c r="I7" i="61"/>
  <c r="I8" i="61" s="1"/>
  <c r="K68" i="61"/>
  <c r="K529" i="61"/>
  <c r="K45" i="61" s="1"/>
  <c r="K67" i="61"/>
  <c r="K53" i="61" s="1"/>
  <c r="K535" i="61"/>
  <c r="K36" i="61" s="1"/>
  <c r="K43" i="61" s="1"/>
  <c r="U110" i="61" l="1"/>
  <c r="U168" i="61"/>
  <c r="U306" i="61"/>
  <c r="U502" i="61"/>
  <c r="U288" i="61"/>
  <c r="U132" i="61"/>
  <c r="U230" i="61"/>
  <c r="U81" i="61"/>
  <c r="U135" i="61"/>
  <c r="U153" i="61"/>
  <c r="T289" i="61"/>
  <c r="M204" i="61"/>
  <c r="M214" i="61" s="1"/>
  <c r="O92" i="61"/>
  <c r="M415" i="61"/>
  <c r="M416" i="61" s="1"/>
  <c r="M410" i="61" s="1"/>
  <c r="P69" i="61"/>
  <c r="P376" i="61" s="1"/>
  <c r="O375" i="61"/>
  <c r="O74" i="61"/>
  <c r="Q520" i="61"/>
  <c r="Q496" i="61"/>
  <c r="P95" i="61"/>
  <c r="Q423" i="61"/>
  <c r="N412" i="61"/>
  <c r="N413" i="61" s="1"/>
  <c r="N407" i="61" s="1"/>
  <c r="N203" i="61"/>
  <c r="R493" i="61"/>
  <c r="S349" i="61"/>
  <c r="T450" i="61"/>
  <c r="S343" i="61"/>
  <c r="M215" i="61"/>
  <c r="N198" i="61" s="1"/>
  <c r="M488" i="61"/>
  <c r="M501" i="61"/>
  <c r="M479" i="61"/>
  <c r="T448" i="61"/>
  <c r="S341" i="61"/>
  <c r="R495" i="61"/>
  <c r="S336" i="61"/>
  <c r="Q485" i="61"/>
  <c r="R421" i="61"/>
  <c r="R344" i="61"/>
  <c r="R514" i="61" s="1"/>
  <c r="Q216" i="61"/>
  <c r="T266" i="61"/>
  <c r="T267" i="61" s="1"/>
  <c r="U279" i="61"/>
  <c r="U507" i="61"/>
  <c r="U328" i="61"/>
  <c r="T449" i="61"/>
  <c r="Q199" i="61"/>
  <c r="T282" i="61"/>
  <c r="Q345" i="61"/>
  <c r="P113" i="61"/>
  <c r="P119" i="61" s="1"/>
  <c r="S474" i="61"/>
  <c r="S79" i="61" s="1"/>
  <c r="S451" i="61"/>
  <c r="T93" i="61"/>
  <c r="T106" i="61"/>
  <c r="U210" i="61"/>
  <c r="R452" i="61"/>
  <c r="R118" i="61" s="1"/>
  <c r="R519" i="61"/>
  <c r="R61" i="61"/>
  <c r="U281" i="61"/>
  <c r="U183" i="61"/>
  <c r="U85" i="61"/>
  <c r="U41" i="61"/>
  <c r="S317" i="61"/>
  <c r="K46" i="61"/>
  <c r="K49" i="61"/>
  <c r="K38" i="61"/>
  <c r="K42" i="61" s="1"/>
  <c r="K121" i="61" s="1"/>
  <c r="K47" i="61"/>
  <c r="K70" i="61"/>
  <c r="K72" i="61" s="1"/>
  <c r="K75" i="61" s="1"/>
  <c r="K76" i="61" s="1"/>
  <c r="K225" i="61"/>
  <c r="L225" i="61" s="1"/>
  <c r="K54" i="61"/>
  <c r="K57" i="61" s="1"/>
  <c r="U314" i="61" l="1"/>
  <c r="U307" i="61"/>
  <c r="U289" i="61"/>
  <c r="U39" i="61"/>
  <c r="U478" i="61"/>
  <c r="U342" i="61"/>
  <c r="U106" i="61"/>
  <c r="U264" i="61"/>
  <c r="U315" i="61" s="1"/>
  <c r="U137" i="61"/>
  <c r="U231" i="61"/>
  <c r="T318" i="61"/>
  <c r="M217" i="61"/>
  <c r="M86" i="61" s="1"/>
  <c r="M206" i="61"/>
  <c r="M105" i="61" s="1"/>
  <c r="P348" i="61"/>
  <c r="P350" i="61" s="1"/>
  <c r="P354" i="61" s="1"/>
  <c r="P420" i="61"/>
  <c r="P422" i="61" s="1"/>
  <c r="P380" i="61"/>
  <c r="P383" i="61" s="1"/>
  <c r="P386" i="61" s="1"/>
  <c r="P94" i="61" s="1"/>
  <c r="P357" i="61"/>
  <c r="P359" i="61" s="1"/>
  <c r="P363" i="61" s="1"/>
  <c r="P406" i="61"/>
  <c r="P335" i="61"/>
  <c r="P337" i="61" s="1"/>
  <c r="P338" i="61" s="1"/>
  <c r="R520" i="61"/>
  <c r="R485" i="61"/>
  <c r="S421" i="61"/>
  <c r="N197" i="61"/>
  <c r="N200" i="61" s="1"/>
  <c r="U450" i="61"/>
  <c r="T343" i="61"/>
  <c r="N508" i="61"/>
  <c r="N513" i="61" s="1"/>
  <c r="N213" i="61"/>
  <c r="Q95" i="61"/>
  <c r="R423" i="61"/>
  <c r="S344" i="61"/>
  <c r="S514" i="61" s="1"/>
  <c r="S493" i="61"/>
  <c r="T349" i="61"/>
  <c r="N408" i="61"/>
  <c r="N483" i="61"/>
  <c r="T336" i="61"/>
  <c r="S495" i="61"/>
  <c r="T341" i="61"/>
  <c r="U448" i="61"/>
  <c r="R496" i="61"/>
  <c r="M40" i="61"/>
  <c r="M37" i="61"/>
  <c r="M55" i="61"/>
  <c r="O414" i="61"/>
  <c r="M409" i="61"/>
  <c r="R199" i="61"/>
  <c r="U282" i="61"/>
  <c r="R216" i="61"/>
  <c r="U93" i="61"/>
  <c r="S519" i="61"/>
  <c r="S452" i="61"/>
  <c r="S118" i="61" s="1"/>
  <c r="S61" i="61"/>
  <c r="S319" i="61"/>
  <c r="T317" i="61"/>
  <c r="T451" i="61"/>
  <c r="T474" i="61"/>
  <c r="T79" i="61" s="1"/>
  <c r="R345" i="61"/>
  <c r="Q113" i="61"/>
  <c r="Q119" i="61" s="1"/>
  <c r="L238" i="61"/>
  <c r="K56" i="61"/>
  <c r="M225" i="61"/>
  <c r="L149" i="61"/>
  <c r="L158" i="61" l="1"/>
  <c r="L477" i="61"/>
  <c r="U318" i="61"/>
  <c r="U449" i="61"/>
  <c r="U266" i="61"/>
  <c r="U140" i="61"/>
  <c r="K7" i="61"/>
  <c r="K8" i="61" s="1"/>
  <c r="Q69" i="61"/>
  <c r="Q380" i="61" s="1"/>
  <c r="Q383" i="61" s="1"/>
  <c r="Q386" i="61" s="1"/>
  <c r="Q94" i="61" s="1"/>
  <c r="P377" i="61"/>
  <c r="P92" i="61"/>
  <c r="P74" i="61"/>
  <c r="P375" i="61"/>
  <c r="S520" i="61"/>
  <c r="N417" i="61"/>
  <c r="M411" i="61"/>
  <c r="M91" i="61" s="1"/>
  <c r="M97" i="61" s="1"/>
  <c r="M104" i="61"/>
  <c r="T344" i="61"/>
  <c r="T514" i="61" s="1"/>
  <c r="U349" i="61"/>
  <c r="T493" i="61"/>
  <c r="O203" i="61"/>
  <c r="O412" i="61"/>
  <c r="O413" i="61" s="1"/>
  <c r="O407" i="61" s="1"/>
  <c r="S496" i="61"/>
  <c r="U343" i="61"/>
  <c r="T495" i="61"/>
  <c r="U336" i="61"/>
  <c r="N488" i="61"/>
  <c r="N501" i="61"/>
  <c r="N479" i="61"/>
  <c r="O196" i="61"/>
  <c r="M100" i="61"/>
  <c r="M111" i="61"/>
  <c r="M112" i="61" s="1"/>
  <c r="U341" i="61"/>
  <c r="R95" i="61"/>
  <c r="S423" i="61"/>
  <c r="S485" i="61"/>
  <c r="T421" i="61"/>
  <c r="S199" i="61"/>
  <c r="S216" i="61"/>
  <c r="T319" i="61"/>
  <c r="S345" i="61"/>
  <c r="R113" i="61"/>
  <c r="R119" i="61" s="1"/>
  <c r="T452" i="61"/>
  <c r="T118" i="61" s="1"/>
  <c r="T519" i="61"/>
  <c r="T61" i="61"/>
  <c r="L82" i="61"/>
  <c r="L150" i="61"/>
  <c r="L154" i="61" s="1"/>
  <c r="N225" i="61"/>
  <c r="M149" i="61"/>
  <c r="M158" i="61" l="1"/>
  <c r="M477" i="61"/>
  <c r="L159" i="61"/>
  <c r="L162" i="61" s="1"/>
  <c r="L83" i="61" s="1"/>
  <c r="L84" i="61" s="1"/>
  <c r="L533" i="61" s="1"/>
  <c r="L87" i="61" s="1"/>
  <c r="L476" i="61"/>
  <c r="L526" i="61" s="1"/>
  <c r="U474" i="61"/>
  <c r="U79" i="61" s="1"/>
  <c r="U451" i="61"/>
  <c r="U519" i="61" s="1"/>
  <c r="U493" i="61"/>
  <c r="U495" i="61"/>
  <c r="U267" i="61"/>
  <c r="Q406" i="61"/>
  <c r="Q357" i="61"/>
  <c r="Q359" i="61" s="1"/>
  <c r="Q363" i="61" s="1"/>
  <c r="Q348" i="61"/>
  <c r="R69" i="61" s="1"/>
  <c r="Q420" i="61"/>
  <c r="Q422" i="61" s="1"/>
  <c r="Q335" i="61"/>
  <c r="Q376" i="61"/>
  <c r="T520" i="61"/>
  <c r="U344" i="61"/>
  <c r="O508" i="61"/>
  <c r="O513" i="61" s="1"/>
  <c r="O213" i="61"/>
  <c r="O479" i="61" s="1"/>
  <c r="T485" i="61"/>
  <c r="U421" i="61"/>
  <c r="O408" i="61"/>
  <c r="O483" i="61"/>
  <c r="T496" i="61"/>
  <c r="S95" i="61"/>
  <c r="T423" i="61"/>
  <c r="P414" i="61"/>
  <c r="N415" i="61"/>
  <c r="N204" i="61"/>
  <c r="N205" i="61"/>
  <c r="T216" i="61"/>
  <c r="T345" i="61"/>
  <c r="S113" i="61"/>
  <c r="S119" i="61" s="1"/>
  <c r="T199" i="61"/>
  <c r="O225" i="61"/>
  <c r="N149" i="61"/>
  <c r="M150" i="61"/>
  <c r="M154" i="61" s="1"/>
  <c r="M82" i="61"/>
  <c r="N158" i="61" l="1"/>
  <c r="N477" i="61"/>
  <c r="M159" i="61"/>
  <c r="M162" i="61" s="1"/>
  <c r="M83" i="61" s="1"/>
  <c r="M84" i="61" s="1"/>
  <c r="M476" i="61"/>
  <c r="U496" i="61"/>
  <c r="U61" i="61"/>
  <c r="U452" i="61"/>
  <c r="U345" i="61" s="1"/>
  <c r="U317" i="61"/>
  <c r="U485" i="61"/>
  <c r="U514" i="61"/>
  <c r="Q350" i="61"/>
  <c r="Q354" i="61" s="1"/>
  <c r="Q92" i="61" s="1"/>
  <c r="Q74" i="61"/>
  <c r="Q375" i="61"/>
  <c r="Q337" i="61"/>
  <c r="Q338" i="61" s="1"/>
  <c r="Q377" i="61"/>
  <c r="P196" i="61"/>
  <c r="R335" i="61"/>
  <c r="R406" i="61"/>
  <c r="R420" i="61"/>
  <c r="R422" i="61" s="1"/>
  <c r="R348" i="61"/>
  <c r="R380" i="61"/>
  <c r="R383" i="61" s="1"/>
  <c r="R386" i="61" s="1"/>
  <c r="R94" i="61" s="1"/>
  <c r="R376" i="61"/>
  <c r="R357" i="61"/>
  <c r="R359" i="61" s="1"/>
  <c r="R363" i="61" s="1"/>
  <c r="N416" i="61"/>
  <c r="N409" i="61" s="1"/>
  <c r="N215" i="61"/>
  <c r="O198" i="61" s="1"/>
  <c r="U423" i="61"/>
  <c r="T95" i="61"/>
  <c r="O488" i="61"/>
  <c r="O501" i="61"/>
  <c r="N214" i="61"/>
  <c r="N206" i="61"/>
  <c r="N105" i="61" s="1"/>
  <c r="P412" i="61"/>
  <c r="P413" i="61" s="1"/>
  <c r="P407" i="61" s="1"/>
  <c r="P203" i="61"/>
  <c r="T113" i="61"/>
  <c r="T119" i="61" s="1"/>
  <c r="L89" i="61"/>
  <c r="L90" i="61" s="1"/>
  <c r="L480" i="61"/>
  <c r="L221" i="61" s="1"/>
  <c r="N82" i="61"/>
  <c r="N150" i="61"/>
  <c r="N154" i="61" s="1"/>
  <c r="P225" i="61"/>
  <c r="O149" i="61"/>
  <c r="O158" i="61" l="1"/>
  <c r="O477" i="61"/>
  <c r="N159" i="61"/>
  <c r="N162" i="61" s="1"/>
  <c r="N83" i="61" s="1"/>
  <c r="N84" i="61" s="1"/>
  <c r="N476" i="61"/>
  <c r="U118" i="61"/>
  <c r="U520" i="61"/>
  <c r="U113" i="61"/>
  <c r="U95" i="61"/>
  <c r="U319" i="61"/>
  <c r="S69" i="61"/>
  <c r="R350" i="61"/>
  <c r="R354" i="61" s="1"/>
  <c r="R92" i="61" s="1"/>
  <c r="N410" i="61"/>
  <c r="N37" i="61" s="1"/>
  <c r="R377" i="61"/>
  <c r="R375" i="61"/>
  <c r="R337" i="61"/>
  <c r="R338" i="61" s="1"/>
  <c r="R74" i="61"/>
  <c r="P408" i="61"/>
  <c r="P483" i="61"/>
  <c r="Q414" i="61"/>
  <c r="P213" i="61"/>
  <c r="P479" i="61" s="1"/>
  <c r="P508" i="61"/>
  <c r="P513" i="61" s="1"/>
  <c r="O197" i="61"/>
  <c r="N217" i="61"/>
  <c r="N86" i="61" s="1"/>
  <c r="L223" i="61"/>
  <c r="L222" i="61"/>
  <c r="O82" i="61"/>
  <c r="O150" i="61"/>
  <c r="O154" i="61" s="1"/>
  <c r="Q225" i="61"/>
  <c r="P149" i="61"/>
  <c r="L220" i="61"/>
  <c r="L500" i="61"/>
  <c r="L482" i="61"/>
  <c r="L120" i="61"/>
  <c r="L99" i="61"/>
  <c r="P158" i="61" l="1"/>
  <c r="P477" i="61"/>
  <c r="O159" i="61"/>
  <c r="O162" i="61" s="1"/>
  <c r="O83" i="61" s="1"/>
  <c r="O84" i="61" s="1"/>
  <c r="O476" i="61"/>
  <c r="U216" i="61"/>
  <c r="U199" i="61"/>
  <c r="U119" i="61"/>
  <c r="Q196" i="61"/>
  <c r="N55" i="61"/>
  <c r="O417" i="61"/>
  <c r="O205" i="61" s="1"/>
  <c r="N40" i="61"/>
  <c r="N104" i="61" s="1"/>
  <c r="N411" i="61"/>
  <c r="S335" i="61"/>
  <c r="S348" i="61"/>
  <c r="S376" i="61"/>
  <c r="S380" i="61"/>
  <c r="S383" i="61" s="1"/>
  <c r="S386" i="61" s="1"/>
  <c r="S94" i="61" s="1"/>
  <c r="S420" i="61"/>
  <c r="S422" i="61" s="1"/>
  <c r="S406" i="61"/>
  <c r="S357" i="61"/>
  <c r="S359" i="61" s="1"/>
  <c r="S363" i="61" s="1"/>
  <c r="O200" i="61"/>
  <c r="N100" i="61"/>
  <c r="N111" i="61"/>
  <c r="N112" i="61" s="1"/>
  <c r="Q203" i="61"/>
  <c r="Q412" i="61"/>
  <c r="Q413" i="61" s="1"/>
  <c r="Q407" i="61" s="1"/>
  <c r="P501" i="61"/>
  <c r="P488" i="61"/>
  <c r="L224" i="61"/>
  <c r="L101" i="61"/>
  <c r="L102" i="61" s="1"/>
  <c r="L532" i="61"/>
  <c r="L489" i="61"/>
  <c r="L492" i="61"/>
  <c r="P150" i="61"/>
  <c r="P154" i="61" s="1"/>
  <c r="P82" i="61"/>
  <c r="L506" i="61"/>
  <c r="L521" i="61" s="1"/>
  <c r="L503" i="61"/>
  <c r="R225" i="61"/>
  <c r="Q149" i="61"/>
  <c r="Q477" i="61" s="1"/>
  <c r="P159" i="61" l="1"/>
  <c r="P162" i="61" s="1"/>
  <c r="P83" i="61" s="1"/>
  <c r="P84" i="61" s="1"/>
  <c r="P476" i="61"/>
  <c r="L525" i="61"/>
  <c r="M526" i="61" s="1"/>
  <c r="O204" i="61"/>
  <c r="O206" i="61" s="1"/>
  <c r="O105" i="61" s="1"/>
  <c r="S377" i="61"/>
  <c r="O415" i="61"/>
  <c r="O416" i="61" s="1"/>
  <c r="N91" i="61"/>
  <c r="N97" i="61" s="1"/>
  <c r="S375" i="61"/>
  <c r="S74" i="61"/>
  <c r="S337" i="61"/>
  <c r="S338" i="61" s="1"/>
  <c r="T69" i="61"/>
  <c r="S350" i="61"/>
  <c r="S354" i="61" s="1"/>
  <c r="S92" i="61" s="1"/>
  <c r="Q508" i="61"/>
  <c r="Q513" i="61" s="1"/>
  <c r="Q213" i="61"/>
  <c r="Q479" i="61" s="1"/>
  <c r="Q483" i="61"/>
  <c r="Q408" i="61"/>
  <c r="O215" i="61"/>
  <c r="P198" i="61" s="1"/>
  <c r="R414" i="61"/>
  <c r="S225" i="61"/>
  <c r="R149" i="61"/>
  <c r="L497" i="61"/>
  <c r="L48" i="61"/>
  <c r="Q82" i="61"/>
  <c r="Q150" i="61"/>
  <c r="Q154" i="61" s="1"/>
  <c r="L504" i="61"/>
  <c r="M533" i="61"/>
  <c r="Q158" i="61"/>
  <c r="R158" i="61" l="1"/>
  <c r="R477" i="61"/>
  <c r="Q159" i="61"/>
  <c r="Q162" i="61" s="1"/>
  <c r="Q83" i="61" s="1"/>
  <c r="Q84" i="61" s="1"/>
  <c r="Q476" i="61"/>
  <c r="L527" i="61"/>
  <c r="L528" i="61" s="1"/>
  <c r="L52" i="61" s="1"/>
  <c r="O214" i="61"/>
  <c r="P197" i="61" s="1"/>
  <c r="P200" i="61" s="1"/>
  <c r="R196" i="61"/>
  <c r="T376" i="61"/>
  <c r="T357" i="61"/>
  <c r="T359" i="61" s="1"/>
  <c r="T363" i="61" s="1"/>
  <c r="T348" i="61"/>
  <c r="T420" i="61"/>
  <c r="T422" i="61" s="1"/>
  <c r="T406" i="61"/>
  <c r="T380" i="61"/>
  <c r="T383" i="61" s="1"/>
  <c r="T386" i="61" s="1"/>
  <c r="T94" i="61" s="1"/>
  <c r="T335" i="61"/>
  <c r="O409" i="61"/>
  <c r="O410" i="61"/>
  <c r="R203" i="61"/>
  <c r="R412" i="61"/>
  <c r="R413" i="61" s="1"/>
  <c r="R407" i="61" s="1"/>
  <c r="S414" i="61" s="1"/>
  <c r="Q488" i="61"/>
  <c r="Q501" i="61"/>
  <c r="M480" i="61"/>
  <c r="R82" i="61"/>
  <c r="R150" i="61"/>
  <c r="R154" i="61" s="1"/>
  <c r="M87" i="61"/>
  <c r="T225" i="61"/>
  <c r="S149" i="61"/>
  <c r="S477" i="61" s="1"/>
  <c r="R159" i="61" l="1"/>
  <c r="R162" i="61" s="1"/>
  <c r="R83" i="61" s="1"/>
  <c r="R84" i="61" s="1"/>
  <c r="R476" i="61"/>
  <c r="L534" i="61"/>
  <c r="L536" i="61" s="1"/>
  <c r="L35" i="61" s="1"/>
  <c r="L530" i="61"/>
  <c r="L44" i="61" s="1"/>
  <c r="L59" i="61"/>
  <c r="L68" i="61"/>
  <c r="L60" i="61" s="1"/>
  <c r="L71" i="61"/>
  <c r="L529" i="61"/>
  <c r="L45" i="61" s="1"/>
  <c r="L49" i="61" s="1"/>
  <c r="O217" i="61"/>
  <c r="O86" i="61" s="1"/>
  <c r="T375" i="61"/>
  <c r="T337" i="61"/>
  <c r="T338" i="61" s="1"/>
  <c r="T74" i="61"/>
  <c r="T350" i="61"/>
  <c r="T354" i="61" s="1"/>
  <c r="T92" i="61" s="1"/>
  <c r="U69" i="61"/>
  <c r="T377" i="61"/>
  <c r="S203" i="61"/>
  <c r="S412" i="61"/>
  <c r="S413" i="61" s="1"/>
  <c r="S407" i="61" s="1"/>
  <c r="R213" i="61"/>
  <c r="R479" i="61" s="1"/>
  <c r="R508" i="61"/>
  <c r="R513" i="61" s="1"/>
  <c r="O37" i="61"/>
  <c r="O55" i="61"/>
  <c r="O40" i="61"/>
  <c r="R483" i="61"/>
  <c r="R408" i="61"/>
  <c r="O411" i="61"/>
  <c r="P417" i="61"/>
  <c r="U225" i="61"/>
  <c r="T149" i="61"/>
  <c r="S82" i="61"/>
  <c r="S150" i="61"/>
  <c r="S154" i="61" s="1"/>
  <c r="M220" i="61"/>
  <c r="M500" i="61"/>
  <c r="M482" i="61"/>
  <c r="S158" i="61"/>
  <c r="L67" i="61"/>
  <c r="L53" i="61" s="1"/>
  <c r="L54" i="61" s="1"/>
  <c r="L56" i="61" s="1"/>
  <c r="M89" i="61"/>
  <c r="M90" i="61" s="1"/>
  <c r="M222" i="61"/>
  <c r="M223" i="61"/>
  <c r="M221" i="61"/>
  <c r="S159" i="61" l="1"/>
  <c r="S162" i="61" s="1"/>
  <c r="S83" i="61" s="1"/>
  <c r="S476" i="61"/>
  <c r="T158" i="61"/>
  <c r="T477" i="61"/>
  <c r="L535" i="61"/>
  <c r="L36" i="61" s="1"/>
  <c r="L43" i="61" s="1"/>
  <c r="L70" i="61"/>
  <c r="L72" i="61" s="1"/>
  <c r="L75" i="61" s="1"/>
  <c r="M238" i="61" s="1"/>
  <c r="L46" i="61"/>
  <c r="L522" i="61" s="1"/>
  <c r="L47" i="61"/>
  <c r="L62" i="61"/>
  <c r="O91" i="61"/>
  <c r="O97" i="61" s="1"/>
  <c r="U348" i="61"/>
  <c r="U335" i="61"/>
  <c r="U380" i="61"/>
  <c r="U420" i="61"/>
  <c r="U357" i="61"/>
  <c r="U406" i="61"/>
  <c r="U376" i="61"/>
  <c r="S196" i="61"/>
  <c r="O104" i="61"/>
  <c r="S483" i="61"/>
  <c r="S408" i="61"/>
  <c r="O100" i="61"/>
  <c r="O111" i="61"/>
  <c r="O112" i="61" s="1"/>
  <c r="T414" i="61"/>
  <c r="P415" i="61"/>
  <c r="P204" i="61"/>
  <c r="P205" i="61"/>
  <c r="R488" i="61"/>
  <c r="R501" i="61"/>
  <c r="S213" i="61"/>
  <c r="S508" i="61"/>
  <c r="S513" i="61" s="1"/>
  <c r="M506" i="61"/>
  <c r="M521" i="61" s="1"/>
  <c r="M503" i="61"/>
  <c r="M120" i="61"/>
  <c r="M99" i="61"/>
  <c r="M489" i="61"/>
  <c r="M492" i="61"/>
  <c r="M224" i="61"/>
  <c r="T82" i="61"/>
  <c r="T150" i="61"/>
  <c r="T154" i="61" s="1"/>
  <c r="S84" i="61"/>
  <c r="U149" i="61"/>
  <c r="U477" i="61" s="1"/>
  <c r="T159" i="61" l="1"/>
  <c r="T162" i="61" s="1"/>
  <c r="T83" i="61" s="1"/>
  <c r="T84" i="61" s="1"/>
  <c r="T476" i="61"/>
  <c r="U359" i="61"/>
  <c r="U422" i="61"/>
  <c r="U383" i="61"/>
  <c r="U350" i="61"/>
  <c r="L38" i="61"/>
  <c r="L42" i="61" s="1"/>
  <c r="L121" i="61" s="1"/>
  <c r="L64" i="61"/>
  <c r="L490" i="61"/>
  <c r="M525" i="61"/>
  <c r="M527" i="61" s="1"/>
  <c r="U377" i="61"/>
  <c r="S479" i="61"/>
  <c r="U74" i="61"/>
  <c r="U337" i="61"/>
  <c r="U375" i="61"/>
  <c r="P416" i="61"/>
  <c r="P409" i="61" s="1"/>
  <c r="T196" i="61"/>
  <c r="T203" i="61"/>
  <c r="T412" i="61"/>
  <c r="T413" i="61" s="1"/>
  <c r="T407" i="61" s="1"/>
  <c r="P215" i="61"/>
  <c r="Q198" i="61" s="1"/>
  <c r="S488" i="61"/>
  <c r="S501" i="61"/>
  <c r="P206" i="61"/>
  <c r="P105" i="61" s="1"/>
  <c r="P214" i="61"/>
  <c r="M101" i="61"/>
  <c r="M102" i="61" s="1"/>
  <c r="M532" i="61"/>
  <c r="U150" i="61"/>
  <c r="U82" i="61"/>
  <c r="U158" i="61"/>
  <c r="U476" i="61" s="1"/>
  <c r="M497" i="61"/>
  <c r="M48" i="61"/>
  <c r="M504" i="61"/>
  <c r="L7" i="61" l="1"/>
  <c r="L8" i="61" s="1"/>
  <c r="U159" i="61"/>
  <c r="U154" i="61"/>
  <c r="U354" i="61"/>
  <c r="U338" i="61"/>
  <c r="U386" i="61"/>
  <c r="U363" i="61"/>
  <c r="L58" i="61"/>
  <c r="N526" i="61"/>
  <c r="N480" i="61" s="1"/>
  <c r="Q197" i="61"/>
  <c r="P217" i="61"/>
  <c r="P86" i="61" s="1"/>
  <c r="T213" i="61"/>
  <c r="T479" i="61" s="1"/>
  <c r="T508" i="61"/>
  <c r="T513" i="61" s="1"/>
  <c r="T483" i="61"/>
  <c r="T408" i="61"/>
  <c r="U414" i="61"/>
  <c r="P410" i="61"/>
  <c r="N533" i="61"/>
  <c r="M528" i="61"/>
  <c r="M68" i="61"/>
  <c r="M534" i="61"/>
  <c r="U94" i="61" l="1"/>
  <c r="U92" i="61"/>
  <c r="U162" i="61"/>
  <c r="P55" i="61"/>
  <c r="P40" i="61"/>
  <c r="P37" i="61"/>
  <c r="T488" i="61"/>
  <c r="T501" i="61"/>
  <c r="Q417" i="61"/>
  <c r="U196" i="61"/>
  <c r="U203" i="61"/>
  <c r="U412" i="61"/>
  <c r="P411" i="61"/>
  <c r="Q200" i="61"/>
  <c r="M71" i="61"/>
  <c r="M52" i="61"/>
  <c r="M59" i="61"/>
  <c r="M536" i="61"/>
  <c r="M35" i="61" s="1"/>
  <c r="M530" i="61"/>
  <c r="M44" i="61" s="1"/>
  <c r="M529" i="61"/>
  <c r="M45" i="61" s="1"/>
  <c r="M67" i="61"/>
  <c r="M53" i="61" s="1"/>
  <c r="M535" i="61"/>
  <c r="M36" i="61" s="1"/>
  <c r="N220" i="61"/>
  <c r="N482" i="61"/>
  <c r="N500" i="61"/>
  <c r="M70" i="61"/>
  <c r="M60" i="61"/>
  <c r="N87" i="61"/>
  <c r="U413" i="61" l="1"/>
  <c r="U83" i="61"/>
  <c r="P91" i="61"/>
  <c r="P97" i="61" s="1"/>
  <c r="Q415" i="61"/>
  <c r="Q204" i="61"/>
  <c r="Q205" i="61"/>
  <c r="P111" i="61"/>
  <c r="P112" i="61" s="1"/>
  <c r="P100" i="61"/>
  <c r="P104" i="61"/>
  <c r="U213" i="61"/>
  <c r="U508" i="61"/>
  <c r="M72" i="61"/>
  <c r="M75" i="61" s="1"/>
  <c r="M54" i="61"/>
  <c r="M56" i="61" s="1"/>
  <c r="M62" i="61"/>
  <c r="N492" i="61"/>
  <c r="N489" i="61"/>
  <c r="M43" i="61"/>
  <c r="M38" i="61"/>
  <c r="M42" i="61" s="1"/>
  <c r="M49" i="61"/>
  <c r="M46" i="61"/>
  <c r="N89" i="61"/>
  <c r="N90" i="61" s="1"/>
  <c r="N221" i="61"/>
  <c r="N222" i="61"/>
  <c r="N223" i="61"/>
  <c r="N506" i="61"/>
  <c r="N521" i="61" s="1"/>
  <c r="N503" i="61"/>
  <c r="M47" i="61"/>
  <c r="U84" i="61" l="1"/>
  <c r="U513" i="61"/>
  <c r="U479" i="61"/>
  <c r="U407" i="61"/>
  <c r="N525" i="61"/>
  <c r="O526" i="61" s="1"/>
  <c r="Q215" i="61"/>
  <c r="R198" i="61" s="1"/>
  <c r="Q214" i="61"/>
  <c r="Q206" i="61"/>
  <c r="Q105" i="61" s="1"/>
  <c r="Q416" i="61"/>
  <c r="Q410" i="61" s="1"/>
  <c r="M7" i="61"/>
  <c r="M8" i="61" s="1"/>
  <c r="M490" i="61"/>
  <c r="N238" i="61"/>
  <c r="N120" i="61"/>
  <c r="N99" i="61"/>
  <c r="N48" i="61"/>
  <c r="N497" i="61"/>
  <c r="M64" i="61"/>
  <c r="M522" i="61"/>
  <c r="M121" i="61"/>
  <c r="M58" i="61"/>
  <c r="N504" i="61"/>
  <c r="N224" i="61"/>
  <c r="U483" i="61" l="1"/>
  <c r="U408" i="61"/>
  <c r="N527" i="61"/>
  <c r="N528" i="61" s="1"/>
  <c r="N529" i="61" s="1"/>
  <c r="N45" i="61" s="1"/>
  <c r="Q217" i="61"/>
  <c r="Q86" i="61" s="1"/>
  <c r="Q55" i="61"/>
  <c r="Q37" i="61"/>
  <c r="Q40" i="61"/>
  <c r="Q104" i="61" s="1"/>
  <c r="Q409" i="61"/>
  <c r="R197" i="61"/>
  <c r="N101" i="61"/>
  <c r="N102" i="61" s="1"/>
  <c r="N532" i="61"/>
  <c r="O480" i="61"/>
  <c r="U501" i="61" l="1"/>
  <c r="U488" i="61"/>
  <c r="N534" i="61"/>
  <c r="N535" i="61" s="1"/>
  <c r="N36" i="61" s="1"/>
  <c r="N68" i="61"/>
  <c r="N70" i="61" s="1"/>
  <c r="Q411" i="61"/>
  <c r="Q91" i="61" s="1"/>
  <c r="Q97" i="61" s="1"/>
  <c r="R417" i="61"/>
  <c r="Q100" i="61"/>
  <c r="Q111" i="61"/>
  <c r="Q112" i="61" s="1"/>
  <c r="R200" i="61"/>
  <c r="O220" i="61"/>
  <c r="O500" i="61"/>
  <c r="O482" i="61"/>
  <c r="N49" i="61"/>
  <c r="O533" i="61"/>
  <c r="N52" i="61"/>
  <c r="N71" i="61"/>
  <c r="N59" i="61"/>
  <c r="N530" i="61"/>
  <c r="N44" i="61" s="1"/>
  <c r="N47" i="61" s="1"/>
  <c r="N67" i="61" l="1"/>
  <c r="N53" i="61" s="1"/>
  <c r="N54" i="61" s="1"/>
  <c r="N56" i="61" s="1"/>
  <c r="N536" i="61"/>
  <c r="N35" i="61" s="1"/>
  <c r="N38" i="61" s="1"/>
  <c r="N42" i="61" s="1"/>
  <c r="N60" i="61"/>
  <c r="N62" i="61" s="1"/>
  <c r="R415" i="61"/>
  <c r="R205" i="61"/>
  <c r="R204" i="61"/>
  <c r="O489" i="61"/>
  <c r="O492" i="61"/>
  <c r="N72" i="61"/>
  <c r="N75" i="61" s="1"/>
  <c r="N46" i="61"/>
  <c r="O506" i="61"/>
  <c r="O521" i="61" s="1"/>
  <c r="O503" i="61"/>
  <c r="O87" i="61"/>
  <c r="N43" i="61"/>
  <c r="O525" i="61" l="1"/>
  <c r="O527" i="61" s="1"/>
  <c r="R206" i="61"/>
  <c r="R105" i="61" s="1"/>
  <c r="R214" i="61"/>
  <c r="S197" i="61" s="1"/>
  <c r="R215" i="61"/>
  <c r="S198" i="61" s="1"/>
  <c r="R416" i="61"/>
  <c r="R410" i="61" s="1"/>
  <c r="O504" i="61"/>
  <c r="O238" i="61"/>
  <c r="N490" i="61"/>
  <c r="N7" i="61"/>
  <c r="N8" i="61" s="1"/>
  <c r="O48" i="61"/>
  <c r="O497" i="61"/>
  <c r="N58" i="61"/>
  <c r="N121" i="61"/>
  <c r="O89" i="61"/>
  <c r="O90" i="61" s="1"/>
  <c r="O223" i="61"/>
  <c r="O221" i="61"/>
  <c r="O222" i="61"/>
  <c r="N64" i="61"/>
  <c r="N522" i="61"/>
  <c r="P526" i="61" l="1"/>
  <c r="P480" i="61" s="1"/>
  <c r="S200" i="61"/>
  <c r="R217" i="61"/>
  <c r="R86" i="61" s="1"/>
  <c r="R40" i="61"/>
  <c r="R37" i="61"/>
  <c r="R55" i="61"/>
  <c r="R409" i="61"/>
  <c r="O99" i="61"/>
  <c r="O120" i="61"/>
  <c r="O528" i="61"/>
  <c r="O529" i="61" s="1"/>
  <c r="O45" i="61" s="1"/>
  <c r="O68" i="61"/>
  <c r="O224" i="61"/>
  <c r="R111" i="61" l="1"/>
  <c r="R112" i="61" s="1"/>
  <c r="R100" i="61"/>
  <c r="R411" i="61"/>
  <c r="R91" i="61" s="1"/>
  <c r="R97" i="61" s="1"/>
  <c r="S417" i="61"/>
  <c r="R104" i="61"/>
  <c r="O49" i="61"/>
  <c r="P220" i="61"/>
  <c r="P482" i="61"/>
  <c r="P500" i="61"/>
  <c r="O70" i="61"/>
  <c r="O60" i="61"/>
  <c r="O52" i="61"/>
  <c r="O59" i="61"/>
  <c r="O71" i="61"/>
  <c r="O530" i="61"/>
  <c r="O44" i="61" s="1"/>
  <c r="O47" i="61" s="1"/>
  <c r="O101" i="61"/>
  <c r="O102" i="61" s="1"/>
  <c r="O532" i="61"/>
  <c r="S415" i="61" l="1"/>
  <c r="S205" i="61"/>
  <c r="S204" i="61"/>
  <c r="O72" i="61"/>
  <c r="O75" i="61" s="1"/>
  <c r="O490" i="61" s="1"/>
  <c r="O62" i="61"/>
  <c r="P533" i="61"/>
  <c r="O534" i="61"/>
  <c r="O46" i="61"/>
  <c r="P489" i="61"/>
  <c r="P492" i="61"/>
  <c r="P503" i="61"/>
  <c r="P506" i="61"/>
  <c r="P521" i="61" s="1"/>
  <c r="P525" i="61" l="1"/>
  <c r="Q526" i="61" s="1"/>
  <c r="S206" i="61"/>
  <c r="S105" i="61" s="1"/>
  <c r="S214" i="61"/>
  <c r="T197" i="61" s="1"/>
  <c r="S215" i="61"/>
  <c r="T198" i="61" s="1"/>
  <c r="S416" i="61"/>
  <c r="S410" i="61" s="1"/>
  <c r="P238" i="61"/>
  <c r="O64" i="61"/>
  <c r="O522" i="61"/>
  <c r="P87" i="61"/>
  <c r="O67" i="61"/>
  <c r="O53" i="61" s="1"/>
  <c r="O54" i="61" s="1"/>
  <c r="O56" i="61" s="1"/>
  <c r="O535" i="61"/>
  <c r="O36" i="61" s="1"/>
  <c r="O536" i="61"/>
  <c r="O35" i="61" s="1"/>
  <c r="P504" i="61"/>
  <c r="P497" i="61"/>
  <c r="P48" i="61"/>
  <c r="P527" i="61" l="1"/>
  <c r="P528" i="61" s="1"/>
  <c r="P59" i="61" s="1"/>
  <c r="S217" i="61"/>
  <c r="S86" i="61" s="1"/>
  <c r="S55" i="61"/>
  <c r="S37" i="61"/>
  <c r="S40" i="61"/>
  <c r="T200" i="61"/>
  <c r="S409" i="61"/>
  <c r="O38" i="61"/>
  <c r="O43" i="61"/>
  <c r="P89" i="61"/>
  <c r="P90" i="61" s="1"/>
  <c r="P221" i="61"/>
  <c r="P222" i="61"/>
  <c r="P223" i="61"/>
  <c r="Q480" i="61"/>
  <c r="P529" i="61" l="1"/>
  <c r="P45" i="61" s="1"/>
  <c r="P49" i="61" s="1"/>
  <c r="P71" i="61"/>
  <c r="P68" i="61"/>
  <c r="P60" i="61" s="1"/>
  <c r="P52" i="61"/>
  <c r="P530" i="61"/>
  <c r="P44" i="61" s="1"/>
  <c r="S104" i="61"/>
  <c r="S411" i="61"/>
  <c r="S91" i="61" s="1"/>
  <c r="S97" i="61" s="1"/>
  <c r="T417" i="61"/>
  <c r="S100" i="61"/>
  <c r="S111" i="61"/>
  <c r="S112" i="61" s="1"/>
  <c r="O42" i="61"/>
  <c r="O58" i="61" s="1"/>
  <c r="O7" i="61"/>
  <c r="O8" i="61" s="1"/>
  <c r="P99" i="61"/>
  <c r="P120" i="61"/>
  <c r="Q220" i="61"/>
  <c r="Q500" i="61"/>
  <c r="Q482" i="61"/>
  <c r="P224" i="61"/>
  <c r="P70" i="61" l="1"/>
  <c r="P72" i="61" s="1"/>
  <c r="P75" i="61" s="1"/>
  <c r="Q238" i="61" s="1"/>
  <c r="P46" i="61"/>
  <c r="P522" i="61" s="1"/>
  <c r="P47" i="61"/>
  <c r="P62" i="61"/>
  <c r="T415" i="61"/>
  <c r="T205" i="61"/>
  <c r="T204" i="61"/>
  <c r="O121" i="61"/>
  <c r="Q489" i="61"/>
  <c r="Q492" i="61"/>
  <c r="P101" i="61"/>
  <c r="P102" i="61" s="1"/>
  <c r="P532" i="61"/>
  <c r="Q503" i="61"/>
  <c r="Q506" i="61"/>
  <c r="Q521" i="61" s="1"/>
  <c r="P490" i="61" l="1"/>
  <c r="P64" i="61"/>
  <c r="Q525" i="61"/>
  <c r="R526" i="61" s="1"/>
  <c r="T214" i="61"/>
  <c r="U197" i="61" s="1"/>
  <c r="T206" i="61"/>
  <c r="T105" i="61" s="1"/>
  <c r="T215" i="61"/>
  <c r="U198" i="61" s="1"/>
  <c r="T416" i="61"/>
  <c r="T409" i="61" s="1"/>
  <c r="Q504" i="61"/>
  <c r="Q533" i="61"/>
  <c r="P534" i="61"/>
  <c r="Q497" i="61"/>
  <c r="Q48" i="61"/>
  <c r="Q527" i="61" l="1"/>
  <c r="Q528" i="61" s="1"/>
  <c r="Q529" i="61" s="1"/>
  <c r="Q45" i="61" s="1"/>
  <c r="U200" i="61"/>
  <c r="T410" i="61"/>
  <c r="T217" i="61"/>
  <c r="T86" i="61" s="1"/>
  <c r="P67" i="61"/>
  <c r="P53" i="61" s="1"/>
  <c r="P54" i="61" s="1"/>
  <c r="P56" i="61" s="1"/>
  <c r="P535" i="61"/>
  <c r="P36" i="61" s="1"/>
  <c r="P536" i="61"/>
  <c r="P35" i="61" s="1"/>
  <c r="R480" i="61"/>
  <c r="Q87" i="61"/>
  <c r="Q68" i="61" l="1"/>
  <c r="Q60" i="61" s="1"/>
  <c r="T55" i="61"/>
  <c r="T40" i="61"/>
  <c r="T37" i="61"/>
  <c r="U417" i="61"/>
  <c r="T411" i="61"/>
  <c r="Q49" i="61"/>
  <c r="R220" i="61"/>
  <c r="R482" i="61"/>
  <c r="R500" i="61"/>
  <c r="Q89" i="61"/>
  <c r="Q90" i="61" s="1"/>
  <c r="Q223" i="61"/>
  <c r="Q221" i="61"/>
  <c r="Q222" i="61"/>
  <c r="P43" i="61"/>
  <c r="P38" i="61"/>
  <c r="Q71" i="61"/>
  <c r="Q59" i="61"/>
  <c r="Q52" i="61"/>
  <c r="Q530" i="61"/>
  <c r="Q44" i="61" s="1"/>
  <c r="Q47" i="61" s="1"/>
  <c r="Q70" i="61" l="1"/>
  <c r="Q72" i="61" s="1"/>
  <c r="Q75" i="61" s="1"/>
  <c r="T91" i="61"/>
  <c r="T97" i="61" s="1"/>
  <c r="T111" i="61"/>
  <c r="T112" i="61" s="1"/>
  <c r="T100" i="61"/>
  <c r="T104" i="61"/>
  <c r="U415" i="61"/>
  <c r="U205" i="61"/>
  <c r="U204" i="61"/>
  <c r="P42" i="61"/>
  <c r="P58" i="61" s="1"/>
  <c r="P7" i="61"/>
  <c r="P8" i="61" s="1"/>
  <c r="Q62" i="61"/>
  <c r="R492" i="61"/>
  <c r="R489" i="61"/>
  <c r="Q224" i="61"/>
  <c r="Q99" i="61"/>
  <c r="Q120" i="61"/>
  <c r="Q46" i="61"/>
  <c r="R506" i="61"/>
  <c r="R521" i="61" s="1"/>
  <c r="R503" i="61"/>
  <c r="U215" i="61" l="1"/>
  <c r="R525" i="61"/>
  <c r="R527" i="61" s="1"/>
  <c r="U214" i="61"/>
  <c r="U206" i="61"/>
  <c r="U416" i="61"/>
  <c r="P121" i="61"/>
  <c r="R504" i="61"/>
  <c r="R497" i="61"/>
  <c r="R48" i="61"/>
  <c r="Q101" i="61"/>
  <c r="Q102" i="61" s="1"/>
  <c r="Q532" i="61"/>
  <c r="Q64" i="61"/>
  <c r="Q522" i="61"/>
  <c r="Q490" i="61"/>
  <c r="R238" i="61"/>
  <c r="U409" i="61" l="1"/>
  <c r="U105" i="61"/>
  <c r="U217" i="61"/>
  <c r="S526" i="61"/>
  <c r="S480" i="61" s="1"/>
  <c r="U410" i="61"/>
  <c r="R533" i="61"/>
  <c r="Q534" i="61"/>
  <c r="R528" i="61"/>
  <c r="R529" i="61" s="1"/>
  <c r="R45" i="61" s="1"/>
  <c r="R68" i="61"/>
  <c r="U55" i="61" l="1"/>
  <c r="U86" i="61"/>
  <c r="U37" i="61"/>
  <c r="U40" i="61"/>
  <c r="U411" i="61"/>
  <c r="R49" i="61"/>
  <c r="S220" i="61"/>
  <c r="S482" i="61"/>
  <c r="S500" i="61"/>
  <c r="Q67" i="61"/>
  <c r="Q53" i="61" s="1"/>
  <c r="Q54" i="61" s="1"/>
  <c r="Q56" i="61" s="1"/>
  <c r="Q535" i="61"/>
  <c r="Q36" i="61" s="1"/>
  <c r="Q536" i="61"/>
  <c r="Q35" i="61" s="1"/>
  <c r="R52" i="61"/>
  <c r="R59" i="61"/>
  <c r="R71" i="61"/>
  <c r="R530" i="61"/>
  <c r="R44" i="61" s="1"/>
  <c r="R47" i="61" s="1"/>
  <c r="R70" i="61"/>
  <c r="R60" i="61"/>
  <c r="R87" i="61"/>
  <c r="U104" i="61" l="1"/>
  <c r="U100" i="61"/>
  <c r="U111" i="61"/>
  <c r="U91" i="61"/>
  <c r="R62" i="61"/>
  <c r="S492" i="61"/>
  <c r="S489" i="61"/>
  <c r="R89" i="61"/>
  <c r="R90" i="61" s="1"/>
  <c r="R222" i="61"/>
  <c r="R223" i="61"/>
  <c r="R221" i="61"/>
  <c r="Q43" i="61"/>
  <c r="Q38" i="61"/>
  <c r="R72" i="61"/>
  <c r="R75" i="61" s="1"/>
  <c r="S503" i="61"/>
  <c r="S506" i="61"/>
  <c r="S521" i="61" s="1"/>
  <c r="R46" i="61"/>
  <c r="U97" i="61" l="1"/>
  <c r="U112" i="61"/>
  <c r="S525" i="61"/>
  <c r="T526" i="61" s="1"/>
  <c r="Q42" i="61"/>
  <c r="Q58" i="61" s="1"/>
  <c r="Q7" i="61"/>
  <c r="Q8" i="61" s="1"/>
  <c r="R120" i="61"/>
  <c r="R99" i="61"/>
  <c r="R64" i="61"/>
  <c r="R522" i="61"/>
  <c r="S238" i="61"/>
  <c r="R490" i="61"/>
  <c r="R224" i="61"/>
  <c r="S497" i="61"/>
  <c r="S48" i="61"/>
  <c r="S504" i="61"/>
  <c r="S527" i="61" l="1"/>
  <c r="S528" i="61" s="1"/>
  <c r="S71" i="61" s="1"/>
  <c r="Q121" i="61"/>
  <c r="R101" i="61"/>
  <c r="R102" i="61" s="1"/>
  <c r="R532" i="61"/>
  <c r="T480" i="61"/>
  <c r="S530" i="61" l="1"/>
  <c r="S44" i="61" s="1"/>
  <c r="S59" i="61"/>
  <c r="S52" i="61"/>
  <c r="S529" i="61"/>
  <c r="S45" i="61" s="1"/>
  <c r="S68" i="61"/>
  <c r="S60" i="61" s="1"/>
  <c r="T220" i="61"/>
  <c r="T482" i="61"/>
  <c r="T500" i="61"/>
  <c r="S533" i="61"/>
  <c r="R534" i="61"/>
  <c r="S47" i="61" l="1"/>
  <c r="S70" i="61"/>
  <c r="S72" i="61" s="1"/>
  <c r="S75" i="61" s="1"/>
  <c r="S490" i="61" s="1"/>
  <c r="S46" i="61"/>
  <c r="S522" i="61" s="1"/>
  <c r="S49" i="61"/>
  <c r="S62" i="61"/>
  <c r="R67" i="61"/>
  <c r="R53" i="61" s="1"/>
  <c r="R54" i="61" s="1"/>
  <c r="R56" i="61" s="1"/>
  <c r="R536" i="61"/>
  <c r="R35" i="61" s="1"/>
  <c r="R535" i="61"/>
  <c r="R36" i="61" s="1"/>
  <c r="T503" i="61"/>
  <c r="T506" i="61"/>
  <c r="T521" i="61" s="1"/>
  <c r="S87" i="61"/>
  <c r="T492" i="61"/>
  <c r="T489" i="61"/>
  <c r="T238" i="61" l="1"/>
  <c r="S64" i="61"/>
  <c r="T525" i="61"/>
  <c r="U526" i="61" s="1"/>
  <c r="R38" i="61"/>
  <c r="R43" i="61"/>
  <c r="T497" i="61"/>
  <c r="T48" i="61"/>
  <c r="S89" i="61"/>
  <c r="S90" i="61" s="1"/>
  <c r="S222" i="61"/>
  <c r="S223" i="61"/>
  <c r="S221" i="61"/>
  <c r="T504" i="61"/>
  <c r="T527" i="61" l="1"/>
  <c r="T528" i="61" s="1"/>
  <c r="T59" i="61" s="1"/>
  <c r="R42" i="61"/>
  <c r="R58" i="61" s="1"/>
  <c r="R7" i="61"/>
  <c r="R8" i="61" s="1"/>
  <c r="S224" i="61"/>
  <c r="U480" i="61"/>
  <c r="S120" i="61"/>
  <c r="S99" i="61"/>
  <c r="T52" i="61" l="1"/>
  <c r="R121" i="61"/>
  <c r="T530" i="61"/>
  <c r="T44" i="61" s="1"/>
  <c r="T529" i="61"/>
  <c r="T45" i="61" s="1"/>
  <c r="T49" i="61" s="1"/>
  <c r="T71" i="61"/>
  <c r="T68" i="61"/>
  <c r="T70" i="61" s="1"/>
  <c r="U220" i="61"/>
  <c r="U482" i="61"/>
  <c r="U500" i="61"/>
  <c r="S101" i="61"/>
  <c r="S102" i="61" s="1"/>
  <c r="S532" i="61"/>
  <c r="T72" i="61" l="1"/>
  <c r="T75" i="61" s="1"/>
  <c r="T490" i="61" s="1"/>
  <c r="T46" i="61"/>
  <c r="T522" i="61" s="1"/>
  <c r="T60" i="61"/>
  <c r="T62" i="61" s="1"/>
  <c r="T47" i="61"/>
  <c r="U506" i="61"/>
  <c r="U503" i="61"/>
  <c r="T533" i="61"/>
  <c r="S534" i="61"/>
  <c r="U489" i="61"/>
  <c r="U492" i="61"/>
  <c r="U521" i="61" l="1"/>
  <c r="T64" i="61"/>
  <c r="U238" i="61"/>
  <c r="U525" i="61"/>
  <c r="U504" i="61"/>
  <c r="T87" i="61"/>
  <c r="U497" i="61"/>
  <c r="U48" i="61"/>
  <c r="S67" i="61"/>
  <c r="S53" i="61" s="1"/>
  <c r="S54" i="61" s="1"/>
  <c r="S56" i="61" s="1"/>
  <c r="S535" i="61"/>
  <c r="S36" i="61" s="1"/>
  <c r="S536" i="61"/>
  <c r="S35" i="61" s="1"/>
  <c r="U527" i="61" l="1"/>
  <c r="T89" i="61"/>
  <c r="T90" i="61" s="1"/>
  <c r="T221" i="61"/>
  <c r="T222" i="61"/>
  <c r="T223" i="61"/>
  <c r="S43" i="61"/>
  <c r="S38" i="61"/>
  <c r="U68" i="61" l="1"/>
  <c r="U528" i="61"/>
  <c r="U530" i="61" s="1"/>
  <c r="S42" i="61"/>
  <c r="S58" i="61" s="1"/>
  <c r="S7" i="61"/>
  <c r="S8" i="61" s="1"/>
  <c r="T120" i="61"/>
  <c r="T99" i="61"/>
  <c r="T224" i="61"/>
  <c r="U52" i="61" l="1"/>
  <c r="S121" i="61"/>
  <c r="U44" i="61"/>
  <c r="U529" i="61"/>
  <c r="U71" i="61"/>
  <c r="U59" i="61"/>
  <c r="U70" i="61"/>
  <c r="U60" i="61"/>
  <c r="T101" i="61"/>
  <c r="T102" i="61" s="1"/>
  <c r="T532" i="61"/>
  <c r="U45" i="61" l="1"/>
  <c r="U47" i="61" s="1"/>
  <c r="U62" i="61"/>
  <c r="U72" i="61"/>
  <c r="U533" i="61"/>
  <c r="T534" i="61"/>
  <c r="U75" i="61" l="1"/>
  <c r="U49" i="61"/>
  <c r="U46" i="61"/>
  <c r="T67" i="61"/>
  <c r="T53" i="61" s="1"/>
  <c r="T54" i="61" s="1"/>
  <c r="T56" i="61" s="1"/>
  <c r="T536" i="61"/>
  <c r="T35" i="61" s="1"/>
  <c r="T535" i="61"/>
  <c r="T36" i="61" s="1"/>
  <c r="U87" i="61"/>
  <c r="U522" i="61" l="1"/>
  <c r="U64" i="61"/>
  <c r="U490" i="61"/>
  <c r="T43" i="61"/>
  <c r="T38" i="61"/>
  <c r="U89" i="61"/>
  <c r="U223" i="61"/>
  <c r="U221" i="61"/>
  <c r="U222" i="61"/>
  <c r="U90" i="61" l="1"/>
  <c r="U120" i="61" s="1"/>
  <c r="T42" i="61"/>
  <c r="T121" i="61" s="1"/>
  <c r="T7" i="61"/>
  <c r="T8" i="61" s="1"/>
  <c r="U224" i="61"/>
  <c r="U99" i="61" l="1"/>
  <c r="U532" i="61" s="1"/>
  <c r="T58" i="61"/>
  <c r="U101" i="61" l="1"/>
  <c r="U102" i="61" s="1"/>
  <c r="U534" i="61"/>
  <c r="U536" i="61" s="1"/>
  <c r="U535" i="61" l="1"/>
  <c r="U36" i="61" s="1"/>
  <c r="U67" i="61"/>
  <c r="U53" i="61" s="1"/>
  <c r="U35" i="61"/>
  <c r="U38" i="61" l="1"/>
  <c r="U42" i="61" s="1"/>
  <c r="U43" i="61"/>
  <c r="U54" i="61"/>
  <c r="U7" i="61"/>
  <c r="U8" i="61" s="1"/>
  <c r="U56" i="61" l="1"/>
  <c r="U58" i="61"/>
  <c r="U121" i="61"/>
</calcChain>
</file>

<file path=xl/comments1.xml><?xml version="1.0" encoding="utf-8"?>
<comments xmlns="http://schemas.openxmlformats.org/spreadsheetml/2006/main">
  <authors>
    <author>Author</author>
  </authors>
  <commentList>
    <comment ref="A24" authorId="0" shapeId="0">
      <text>
        <r>
          <rPr>
            <sz val="9"/>
            <color indexed="81"/>
            <rFont val="Tahoma"/>
            <family val="2"/>
          </rPr>
          <t xml:space="preserve">Non-Earners' Account and non-earners' share of the Treatment Injury Account is paid by the government. Hence those shares of the levy income are removed in the preparation of consolidated accounts. 
</t>
        </r>
      </text>
    </comment>
    <comment ref="A26" authorId="0" shapeId="0">
      <text>
        <r>
          <rPr>
            <sz val="9"/>
            <color indexed="81"/>
            <rFont val="Tahoma"/>
            <family val="2"/>
          </rPr>
          <t xml:space="preserve">Non-Earners' Account and non-earners' share of the Treatment Injury Account is paid by the government. Hence those shares of the claims and other expenses are removed in the preparation of consolidated accounts. 
</t>
        </r>
      </text>
    </comment>
  </commentList>
</comments>
</file>

<file path=xl/comments2.xml><?xml version="1.0" encoding="utf-8"?>
<comments xmlns="http://schemas.openxmlformats.org/spreadsheetml/2006/main">
  <authors>
    <author>Author</author>
  </authors>
  <commentList>
    <comment ref="A61" authorId="0" shapeId="0">
      <text>
        <r>
          <rPr>
            <sz val="9"/>
            <color indexed="81"/>
            <rFont val="Tahoma"/>
            <family val="2"/>
          </rPr>
          <t xml:space="preserve">These expenses were included in Heritage, culture and recreation expenses until 2010/11
</t>
        </r>
      </text>
    </comment>
  </commentList>
</comments>
</file>

<file path=xl/comments3.xml><?xml version="1.0" encoding="utf-8"?>
<comments xmlns="http://schemas.openxmlformats.org/spreadsheetml/2006/main">
  <authors>
    <author>Author</author>
  </authors>
  <commentList>
    <comment ref="B9" authorId="0" shapeId="0">
      <text>
        <r>
          <rPr>
            <sz val="9"/>
            <color indexed="81"/>
            <rFont val="Tahoma"/>
            <family val="2"/>
          </rPr>
          <t xml:space="preserve">NAC stands for Needed As Check. The data in this row is not actually picked up in the model itself, but is used as a check on other data in this worksheet.
</t>
        </r>
      </text>
    </comment>
    <comment ref="B11" authorId="0" shapeId="0">
      <text>
        <r>
          <rPr>
            <sz val="9"/>
            <color indexed="81"/>
            <rFont val="Tahoma"/>
            <family val="2"/>
          </rPr>
          <t xml:space="preserve">UIM stands for Used In Model. The data in this row is directly referenced in the main modelling worksheets of the model.
</t>
        </r>
      </text>
    </comment>
    <comment ref="B124" authorId="0" shapeId="0">
      <text>
        <r>
          <rPr>
            <sz val="9"/>
            <color indexed="81"/>
            <rFont val="Tahoma"/>
            <family val="2"/>
          </rPr>
          <t>These are Used In Modelling worksheets, so are UIM, but some formulae in this worksheet need this cell to be empty.</t>
        </r>
      </text>
    </comment>
    <comment ref="B125" authorId="0" shapeId="0">
      <text>
        <r>
          <rPr>
            <sz val="9"/>
            <color indexed="81"/>
            <rFont val="Tahoma"/>
            <family val="2"/>
          </rPr>
          <t>These are Used In Modelling worksheets, so are UIM, but some formulae in this worksheet need this cell to be empty.</t>
        </r>
      </text>
    </comment>
    <comment ref="A139" authorId="0" shapeId="0">
      <text>
        <r>
          <rPr>
            <sz val="9"/>
            <color indexed="81"/>
            <rFont val="Tahoma"/>
            <family val="2"/>
          </rPr>
          <t>Includes unsettled purchases of securities, which are classified as accounts payable in the Statement of Financial Position.</t>
        </r>
      </text>
    </comment>
    <comment ref="A156" authorId="0" shapeId="0">
      <text>
        <r>
          <rPr>
            <sz val="9"/>
            <color indexed="81"/>
            <rFont val="Tahoma"/>
            <family val="2"/>
          </rPr>
          <t>In the Statement of Segments this variable is labelled Social assistance and official development assistance, but it is exactly the same variable which is labelled Transfer payments and subsidies in the Statement of Financial Performance.</t>
        </r>
      </text>
    </comment>
    <comment ref="A190" authorId="0" shapeId="0">
      <text>
        <r>
          <rPr>
            <sz val="9"/>
            <color indexed="81"/>
            <rFont val="Tahoma"/>
            <family val="2"/>
          </rPr>
          <t xml:space="preserve">Often there are no inter-segment eliminations for Insurance expenses and this is what is assumed in projected years. However, occasionally they occur in historical and forecast years, and, if they do, they are normally very small. In such cases they are included with State-owned enterprises numbers. </t>
        </r>
      </text>
    </comment>
    <comment ref="A224" authorId="0" shapeId="0">
      <text>
        <r>
          <rPr>
            <sz val="9"/>
            <color indexed="81"/>
            <rFont val="Tahoma"/>
            <family val="2"/>
          </rPr>
          <t xml:space="preserve">Often there is no State-owned enterprises Dividend revenue and this is what is assumed in projected years. However, occasionally it occurs in historical and forecast years, and, if it does, it is normally very small. In such cases it is included with Inter-segment eliminations numbers. </t>
        </r>
      </text>
    </comment>
    <comment ref="A245" authorId="0" shapeId="0">
      <text>
        <r>
          <rPr>
            <sz val="9"/>
            <color indexed="81"/>
            <rFont val="Tahoma"/>
            <family val="2"/>
          </rPr>
          <t xml:space="preserve">Often there are no inter-segment eliminations for Depreciation expenses and this is what is assumed in projected years. However, occasionally they occur in historical and forecast years, and, if they do, they are normally very small. In such cases they are included with State-owned enterprises numbers. </t>
        </r>
      </text>
    </comment>
    <comment ref="A250" authorId="0" shapeId="0">
      <text>
        <r>
          <rPr>
            <sz val="9"/>
            <color indexed="81"/>
            <rFont val="Tahoma"/>
            <family val="2"/>
          </rPr>
          <t xml:space="preserve">Often there are no inter-segment eliminations for Amortisation expenses and this is what is assumed in projected years. However, occasionally they occur in historical and forecast years, and, if they do, they are normally very small. In such cases they are included with State-owned enterprises numbers. </t>
        </r>
      </text>
    </comment>
    <comment ref="A283" authorId="0" shapeId="0">
      <text>
        <r>
          <rPr>
            <sz val="9"/>
            <color indexed="81"/>
            <rFont val="Tahoma"/>
            <family val="2"/>
          </rPr>
          <t xml:space="preserve">The value in the final historical year represents the total of unallocated contingencies from past Budgets. It is included to act as a check that the correct five year spread of the Forecast new capital spending has occurred in each year of the forecast. </t>
        </r>
      </text>
    </comment>
  </commentList>
</comments>
</file>

<file path=xl/sharedStrings.xml><?xml version="1.0" encoding="utf-8"?>
<sst xmlns="http://schemas.openxmlformats.org/spreadsheetml/2006/main" count="2389" uniqueCount="1315">
  <si>
    <t>RESIDENT POPULATION OF NEW ZEALAND, BY SINGLE YEAR OF AGE AND GENDER, AS AT 30 JUNE</t>
  </si>
  <si>
    <t>Estimated resident population by age and sex (as at 30 June)</t>
  </si>
  <si>
    <t>FEMALES</t>
  </si>
  <si>
    <t>90 &amp; over</t>
  </si>
  <si>
    <t>Female total</t>
  </si>
  <si>
    <t>Population projections</t>
  </si>
  <si>
    <t>Projections from Statistics New Zealand</t>
  </si>
  <si>
    <t>Historical data from Statistics New Zealand</t>
  </si>
  <si>
    <t>Infoshare: Population - Population Estimates</t>
  </si>
  <si>
    <t>MALES</t>
  </si>
  <si>
    <t>Male total</t>
  </si>
  <si>
    <t>Year ended 30 June</t>
  </si>
  <si>
    <t>2005/06</t>
  </si>
  <si>
    <t>2006/07</t>
  </si>
  <si>
    <t>2007/08</t>
  </si>
  <si>
    <t>2008/09</t>
  </si>
  <si>
    <t>2010/11</t>
  </si>
  <si>
    <t>2009/10</t>
  </si>
  <si>
    <t>2011/12</t>
  </si>
  <si>
    <t>2012/13</t>
  </si>
  <si>
    <t>2013/14</t>
  </si>
  <si>
    <t>2014/15</t>
  </si>
  <si>
    <t>50th percentile (median) projection</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</si>
  <si>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</si>
  <si>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</si>
  <si>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</si>
  <si>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</si>
  <si>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</si>
  <si>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</si>
  <si>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</si>
  <si>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</si>
  <si>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</si>
  <si>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</si>
  <si>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</si>
  <si>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</si>
  <si>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</si>
  <si>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</si>
  <si>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</si>
  <si>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</si>
  <si>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</si>
  <si>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</si>
  <si>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</si>
  <si>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</si>
  <si>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</si>
  <si>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</si>
  <si>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</si>
  <si>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</si>
  <si>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</si>
  <si>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</si>
  <si>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</si>
  <si>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</si>
  <si>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</si>
  <si>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</si>
  <si>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</si>
  <si>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</si>
  <si>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</si>
  <si>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</si>
  <si>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</si>
  <si>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2050/51</t>
  </si>
  <si>
    <t>2051/52</t>
  </si>
  <si>
    <t>2052/53</t>
  </si>
  <si>
    <t>2053/54</t>
  </si>
  <si>
    <t>2054/55</t>
  </si>
  <si>
    <t>2055/56</t>
  </si>
  <si>
    <t>2056/57</t>
  </si>
  <si>
    <t>2057/58</t>
  </si>
  <si>
    <t>2058/59</t>
  </si>
  <si>
    <t>2059/60</t>
  </si>
  <si>
    <t>2060/61</t>
  </si>
  <si>
    <t>2061/62</t>
  </si>
  <si>
    <t>2062/63</t>
  </si>
  <si>
    <t>2063/64</t>
  </si>
  <si>
    <t>2064/65</t>
  </si>
  <si>
    <t>2065/66</t>
  </si>
  <si>
    <t>2066/67</t>
  </si>
  <si>
    <t>2067/68</t>
  </si>
  <si>
    <t>Population (millions)</t>
  </si>
  <si>
    <t>Annual growth (%)</t>
  </si>
  <si>
    <t>Life expectancy at birth (years)</t>
  </si>
  <si>
    <t>Life expectancy at age 65 (years)</t>
  </si>
  <si>
    <t>Labour Force (millions)</t>
  </si>
  <si>
    <t>INPUT PROJECTIONS AND DATA, EXOGENOUS TO LONG-TERM FISCAL MODEL OUTPUTS</t>
  </si>
  <si>
    <t>NEW ZEALAND SUPERANNUATION FUND (NZSF)</t>
  </si>
  <si>
    <t>(billions of $NZ)</t>
  </si>
  <si>
    <t>Revenue and gains/(losses) less non-tax expenses</t>
  </si>
  <si>
    <t>Capital contribution/(withdrawal) from Government</t>
  </si>
  <si>
    <t>Other movements in reserves</t>
  </si>
  <si>
    <t>Closing Balance</t>
  </si>
  <si>
    <t>STUDENT LOANS</t>
  </si>
  <si>
    <t>Interest unwind</t>
  </si>
  <si>
    <t>ACCIDENT COMPENSATION CORPORATION (ACC)</t>
  </si>
  <si>
    <t>Levy income</t>
  </si>
  <si>
    <t>Claims and other expenses</t>
  </si>
  <si>
    <t>Non-Earners (NE) &amp; NE share of Treatment Injury levy income</t>
  </si>
  <si>
    <t>Non-Earners &amp; NE share of Treatment Injury claims &amp; expenses</t>
  </si>
  <si>
    <t>Investment income</t>
  </si>
  <si>
    <t>Closing assets</t>
  </si>
  <si>
    <t>Closing liabilities</t>
  </si>
  <si>
    <t>GOVERNMENT SUPERANNUATION FUND (GSF)</t>
  </si>
  <si>
    <t>Pension expenses</t>
  </si>
  <si>
    <t>KIWI SAVER EXPENSE TRACK</t>
  </si>
  <si>
    <t>ECONOMIC HISTORICAL AND FORECAST DATA</t>
  </si>
  <si>
    <t>Total Population (thousands)</t>
  </si>
  <si>
    <t>Labour productivity annual growth (percentage) (hours worked measure)</t>
  </si>
  <si>
    <t>Consumers Price Index (CPI)</t>
  </si>
  <si>
    <t>Average hourly wage growth (percentage) (ordinary time measure)</t>
  </si>
  <si>
    <t>Government 10-year bond annual rate of return (percentage) (average of 4 quarters)</t>
  </si>
  <si>
    <t xml:space="preserve">Real Gross Domestic Product (GDP) ($09/10 billion) (production, base is 2009/10) </t>
  </si>
  <si>
    <t>Unemployment Rate (percentage of labour force)</t>
  </si>
  <si>
    <r>
      <t xml:space="preserve">Average weekly hours worked (Total hours worked </t>
    </r>
    <r>
      <rPr>
        <b/>
        <sz val="11"/>
        <color indexed="8"/>
        <rFont val="Calibri"/>
        <family val="2"/>
      </rPr>
      <t>÷</t>
    </r>
    <r>
      <rPr>
        <b/>
        <sz val="11"/>
        <color indexed="8"/>
        <rFont val="Arial"/>
        <family val="2"/>
      </rPr>
      <t xml:space="preserve"> total employed labour force)</t>
    </r>
  </si>
  <si>
    <t>ECONOMIC AND FISCAL PROJECTION ASSUMPTIONS</t>
  </si>
  <si>
    <t>Unless specifically stated otherwise, all references in this worksheet to GDP should be taken to mean the current price variable Nominal Gross Domestic Product (GDP).</t>
  </si>
  <si>
    <t>Assumptions are picked up in a modelling worksheet by formulae connected to the scenario name used at the top of the "set of assumptions" column in this worksheet.</t>
  </si>
  <si>
    <t>SCENARIO NAME</t>
  </si>
  <si>
    <t>ECONOMIC ASSUMPTIONS</t>
  </si>
  <si>
    <t>The following are the economic variables most often altered in scenarios. The values used are the desired long-run stable levels or annual growth rates.</t>
  </si>
  <si>
    <r>
      <t xml:space="preserve">SCENARIO NAME SELECTED IN </t>
    </r>
    <r>
      <rPr>
        <b/>
        <i/>
        <sz val="11"/>
        <color indexed="8"/>
        <rFont val="Arial"/>
        <family val="2"/>
      </rPr>
      <t>ASSUMPTIONS</t>
    </r>
    <r>
      <rPr>
        <b/>
        <sz val="11"/>
        <color indexed="8"/>
        <rFont val="Arial"/>
        <family val="2"/>
      </rPr>
      <t xml:space="preserve"> WORKSHEET WRITTEN HERE </t>
    </r>
    <r>
      <rPr>
        <b/>
        <sz val="11"/>
        <color indexed="8"/>
        <rFont val="Calibri"/>
        <family val="2"/>
      </rPr>
      <t>→</t>
    </r>
  </si>
  <si>
    <r>
      <rPr>
        <i/>
        <sz val="11"/>
        <color indexed="8"/>
        <rFont val="Calibri"/>
        <family val="2"/>
      </rPr>
      <t>←</t>
    </r>
    <r>
      <rPr>
        <i/>
        <sz val="11"/>
        <color indexed="8"/>
        <rFont val="Arial"/>
        <family val="2"/>
      </rPr>
      <t xml:space="preserve"> This number is calculated from Scenario name entry and used in formulae throughout model</t>
    </r>
  </si>
  <si>
    <t>All monetary values, unless otherwise stated, are in units of billions of New Zealand dollars</t>
  </si>
  <si>
    <t>Fiscal Year (year from 1 July to the following 30 June)</t>
  </si>
  <si>
    <t>ECONOMIC HISTORICAL, FORECAST AND PROJECTED VARIABLES</t>
  </si>
  <si>
    <t>From Economic</t>
  </si>
  <si>
    <t>Annual percentage growth</t>
  </si>
  <si>
    <t>Nominal GDP ($ billion) (expenditure measure)</t>
  </si>
  <si>
    <t>Nominal GDP (expenditure measure)</t>
  </si>
  <si>
    <t>Annual transition rates to long-run stable assumptions</t>
  </si>
  <si>
    <t>Select annual rates at which various economic variables move towards their long-run stable values from their end-of-forecast values.</t>
  </si>
  <si>
    <t>Unemployment Rate (percentage points per year)</t>
  </si>
  <si>
    <r>
      <t>Labour productivity growth</t>
    </r>
    <r>
      <rPr>
        <sz val="11"/>
        <color indexed="8"/>
        <rFont val="Arial"/>
        <family val="2"/>
      </rPr>
      <t xml:space="preserve"> (percentage points per year)</t>
    </r>
  </si>
  <si>
    <t>Labour productivity annual growth (percentage)</t>
  </si>
  <si>
    <t>Consumers Price Index (CPI) annual growth (percentage)</t>
  </si>
  <si>
    <t>Consumers Price Index growth (percentage points per year)</t>
  </si>
  <si>
    <t>Government 10-year bond annual rate of return (percentage)</t>
  </si>
  <si>
    <t>Government 10-year bond annual rate of return (percentage points per year)</t>
  </si>
  <si>
    <t>FISCAL ASSUMPTIONS</t>
  </si>
  <si>
    <t>Forecast years are shaded red</t>
  </si>
  <si>
    <t>Projected years are shaded black</t>
  </si>
  <si>
    <t>FISCAL HISTORICAL AND FORECAST DATA</t>
  </si>
  <si>
    <t>STATEMENT OF FINANCIAL PERFORMANCE</t>
  </si>
  <si>
    <t>Historical data sourced from Treasury past Budget publications</t>
  </si>
  <si>
    <t xml:space="preserve">Forecast data sourced from Treasury publication of latest Economic &amp; Fiscal Update </t>
  </si>
  <si>
    <t>Taxation revenue</t>
  </si>
  <si>
    <t>Other sovereign revenue</t>
  </si>
  <si>
    <t>Sales of goods and services</t>
  </si>
  <si>
    <t>Other revenue</t>
  </si>
  <si>
    <t>Total revenue (excluding gains)</t>
  </si>
  <si>
    <t>Transfer payments and subsidies</t>
  </si>
  <si>
    <t>Personnel expenses</t>
  </si>
  <si>
    <t>Other operating expenses</t>
  </si>
  <si>
    <t>Interest expenses</t>
  </si>
  <si>
    <t>Insurance expenses</t>
  </si>
  <si>
    <t>Forecast new operating spending</t>
  </si>
  <si>
    <t>Top-down expense adjustment</t>
  </si>
  <si>
    <t>Total expenses (excluding losses)</t>
  </si>
  <si>
    <t>Net gains/(losses) on financial instruments</t>
  </si>
  <si>
    <t>Net gains/(losses) on non-financial instruments</t>
  </si>
  <si>
    <t>Total gains/(losses)</t>
  </si>
  <si>
    <t>Total Crown Expenses - By functional classification</t>
  </si>
  <si>
    <t>Social security and welfare</t>
  </si>
  <si>
    <t>Government Superannuation Fund (GSF) pension expense</t>
  </si>
  <si>
    <t>Health</t>
  </si>
  <si>
    <t>Education</t>
  </si>
  <si>
    <t>Core government services</t>
  </si>
  <si>
    <t>Law and order</t>
  </si>
  <si>
    <t>Defence</t>
  </si>
  <si>
    <t>Transport and communication</t>
  </si>
  <si>
    <t>Economic and industrial services</t>
  </si>
  <si>
    <t>Primary services</t>
  </si>
  <si>
    <t>Heritage, culture and recreation</t>
  </si>
  <si>
    <t>Housing and community development</t>
  </si>
  <si>
    <t>Environmental protection</t>
  </si>
  <si>
    <t>Other</t>
  </si>
  <si>
    <t>Finance costs</t>
  </si>
  <si>
    <t>Core Crown Expenses - By functional classification</t>
  </si>
  <si>
    <t>STATEMENT OF CASH FLOWS</t>
  </si>
  <si>
    <t>Taxation receipts</t>
  </si>
  <si>
    <t>Other sovereign receipts</t>
  </si>
  <si>
    <t>Other operating receipts</t>
  </si>
  <si>
    <t>Total cash provided from operations</t>
  </si>
  <si>
    <t>Personnel and operating payments</t>
  </si>
  <si>
    <t>Interest payments</t>
  </si>
  <si>
    <t>Net cash flows from operations</t>
  </si>
  <si>
    <t>Net sales/(purchase) of physical assets</t>
  </si>
  <si>
    <t>Net sales/(purchase) of shares and other securities</t>
  </si>
  <si>
    <t>Net sales/(purchase) of intangible assets</t>
  </si>
  <si>
    <t xml:space="preserve">Net repayment/(issue) of advances </t>
  </si>
  <si>
    <t>Net divestment/(acquisition) of investments in associates</t>
  </si>
  <si>
    <t>Net cash flows from operating and investing activities</t>
  </si>
  <si>
    <t>Issues of circulating currency</t>
  </si>
  <si>
    <t xml:space="preserve">Net issue/(repayment) of government stock </t>
  </si>
  <si>
    <t xml:space="preserve">Net issue/(repayment) of foreign-currency borrowings </t>
  </si>
  <si>
    <t xml:space="preserve">Net issue/(repayment) of other New Zealand dollar borrowings </t>
  </si>
  <si>
    <t>Dividends received from/(paid to) minority interests</t>
  </si>
  <si>
    <t>Net cash flows from financing activities</t>
  </si>
  <si>
    <t>Net movement in cash</t>
  </si>
  <si>
    <t>Foreign exchange gains/(losses) on opening cash balance</t>
  </si>
  <si>
    <t>Net cash flow from investing (incl annual Forecast new capital spend &amp; Top-down adjust)</t>
  </si>
  <si>
    <t>Net cash flows from operations plus Total gains/(losses)</t>
  </si>
  <si>
    <t>Impairment on financial assets (excludes receivables)</t>
  </si>
  <si>
    <t>Decrease/(increase) in defined benefit retirement plan liabilities</t>
  </si>
  <si>
    <t>Decrease/(increase) in insurance liabilities</t>
  </si>
  <si>
    <t>Increase/(decrease) in receivables</t>
  </si>
  <si>
    <t>Increase/(decrease) in accrued interest</t>
  </si>
  <si>
    <t>Increase/(decrease) in inventories</t>
  </si>
  <si>
    <t>Increase/(decrease) in prepayments</t>
  </si>
  <si>
    <t>Decrease/(increase) in deferred revenue</t>
  </si>
  <si>
    <t>Decrease/(increase) in payables/provisions</t>
  </si>
  <si>
    <t>Total movements in working capital</t>
  </si>
  <si>
    <t>Reconciliation: Between Net cash flows from operations and the Operating balance</t>
  </si>
  <si>
    <t>CHECK: Annual change in Cash asset =Net movement in cash +Forex gains/(losses)</t>
  </si>
  <si>
    <t>CHECK: Op Bal (excl Min Ints) = Op cash +Gains +Non-cash items +Movements in WC</t>
  </si>
  <si>
    <t>STATEMENT OF FINANCIAL POSITION</t>
  </si>
  <si>
    <t>Cash and cash equivalents</t>
  </si>
  <si>
    <t>Receivables</t>
  </si>
  <si>
    <t>Marketable securities, deposits and derivatives in gain</t>
  </si>
  <si>
    <t>Share investments</t>
  </si>
  <si>
    <t>Advances</t>
  </si>
  <si>
    <t>Inventory</t>
  </si>
  <si>
    <t>Other assets</t>
  </si>
  <si>
    <t xml:space="preserve">Property, plant and equipment </t>
  </si>
  <si>
    <t>Equity accounted investments</t>
  </si>
  <si>
    <t>Intangible assets and goodwill</t>
  </si>
  <si>
    <t>Forecast for new capital spending</t>
  </si>
  <si>
    <t>Top-down capital adjustment</t>
  </si>
  <si>
    <t>Total assets</t>
  </si>
  <si>
    <t>Issued currency</t>
  </si>
  <si>
    <t>Payables</t>
  </si>
  <si>
    <t>Deferred revenue</t>
  </si>
  <si>
    <t>Borrowings</t>
  </si>
  <si>
    <t>Insurance liabilities</t>
  </si>
  <si>
    <t>Retirement plan liabilities</t>
  </si>
  <si>
    <t>Provisions</t>
  </si>
  <si>
    <t>Total liabilities</t>
  </si>
  <si>
    <t>Total net worth</t>
  </si>
  <si>
    <t>CHECK: Net worth =Total assets - Total liabilities</t>
  </si>
  <si>
    <t>Net worth attributable to minority interest</t>
  </si>
  <si>
    <t>STATEMENT OF BORROWINGS</t>
  </si>
  <si>
    <t>Core crown borrowings</t>
  </si>
  <si>
    <t>Less New Zealand Superannuation Fund (NZSF) borrowings</t>
  </si>
  <si>
    <t>Gross sovereign-issued debt (GSID)</t>
  </si>
  <si>
    <t>Less core Crown financial assets (excluding receivables)</t>
  </si>
  <si>
    <t>Net core Crown debt</t>
  </si>
  <si>
    <t>Add back core Crown advances (excl. NZSF advances)</t>
  </si>
  <si>
    <t>Add back NZSF financial assets (excl. receivables)</t>
  </si>
  <si>
    <t>Net core Crown debt (excluding NZSF and advances)</t>
  </si>
  <si>
    <t>Core Crown revenue</t>
  </si>
  <si>
    <t>Social assistance and official development assistance</t>
  </si>
  <si>
    <t>Core Crown expenses</t>
  </si>
  <si>
    <t>NOTES TO THE FINANCIAL STATEMENTS</t>
  </si>
  <si>
    <t>Taxation revenue (accrual)</t>
  </si>
  <si>
    <t>Source deductions</t>
  </si>
  <si>
    <t>Corporate tax</t>
  </si>
  <si>
    <t>Total goods and services tax (GST)</t>
  </si>
  <si>
    <t>Hypothecated transport taxes</t>
  </si>
  <si>
    <t>Remaining tax types</t>
  </si>
  <si>
    <t>CHECK: Tax revenue in Statement of Financial Performance =Sum of tax types</t>
  </si>
  <si>
    <t>Accident Compensation Corporation (ACC) levies</t>
  </si>
  <si>
    <t>STATEMENT OF SEGMENTS - CORE CROWN SECTION</t>
  </si>
  <si>
    <t>CHECK: CC revenue =Tax +Other sovereign +Sales of g&amp;s +Interest +Other revenue</t>
  </si>
  <si>
    <t xml:space="preserve">Personnel expenses </t>
  </si>
  <si>
    <t xml:space="preserve">Other operating expenses </t>
  </si>
  <si>
    <t>Net surplus/(deficit) from associates and joint ventures</t>
  </si>
  <si>
    <t>Core Crown operating balance</t>
  </si>
  <si>
    <t>CHECK: CC op balance =Revenue -Expenses +Total gains/(losses) +Net surp/(def) A&amp;JV</t>
  </si>
  <si>
    <t>Inventory and other assets</t>
  </si>
  <si>
    <t>Core Crown assets</t>
  </si>
  <si>
    <t>Core Crown liabilities</t>
  </si>
  <si>
    <t>CHECK: CC liabilities =Issued currency +Borrowings +Paybls +Def rev +IL +RPL +Provs</t>
  </si>
  <si>
    <t>Core Crown net worth</t>
  </si>
  <si>
    <t>Other sovereign revenue (accrual)</t>
  </si>
  <si>
    <t>CHECK: Other sovereign rev in Statement of Financial Performance =Sum of OSR types</t>
  </si>
  <si>
    <t>Remaining other sovereign revenue types</t>
  </si>
  <si>
    <t>Crown entities</t>
  </si>
  <si>
    <t>State-owned Enterprises</t>
  </si>
  <si>
    <t>Inter-segment eliminations</t>
  </si>
  <si>
    <t>FISCAL HISTORICAL, FORECAST AND PROJECTED VARIABLES</t>
  </si>
  <si>
    <t>Gross Domestic Product (GDP) measures</t>
  </si>
  <si>
    <t xml:space="preserve">Real GDP (production measure, in 2009/10 dollars) </t>
  </si>
  <si>
    <t>Labour Force and Demographic measures</t>
  </si>
  <si>
    <t>Inverse of nominal GDP (used in several projection formulae)</t>
  </si>
  <si>
    <t>Price measures</t>
  </si>
  <si>
    <t xml:space="preserve">Labour Force (LF) (thousands) (aggregate) </t>
  </si>
  <si>
    <t>Working-Age Population (WAP) (thousands) (aged 15 years &amp; over)</t>
  </si>
  <si>
    <t>Aggregate Labour Force Participation Rate (LFPR) (LF as percentage of WAP)</t>
  </si>
  <si>
    <t>Consumers Price Index (CPI) (June quarter index number)</t>
  </si>
  <si>
    <t>From Fiscal</t>
  </si>
  <si>
    <t>Total Crown Borrowings</t>
  </si>
  <si>
    <t>Net worth attributable to minority interests</t>
  </si>
  <si>
    <t>Projected Years only</t>
  </si>
  <si>
    <t>New Zealand Superannuation</t>
  </si>
  <si>
    <t>Jobseeker support and Emergency benefit</t>
  </si>
  <si>
    <t>Supported living payment</t>
  </si>
  <si>
    <t>Sole parent support</t>
  </si>
  <si>
    <t>Student allowances</t>
  </si>
  <si>
    <t>CHECK: Transfer pmts &amp; subsidies in Statement of Financial Performance =Sum of types</t>
  </si>
  <si>
    <t>KiwiSaver</t>
  </si>
  <si>
    <t>Official development assistance</t>
  </si>
  <si>
    <t>CHECK: Personnel expenses in Statement of Financial Performance =Sum of segments</t>
  </si>
  <si>
    <t>Core Crown</t>
  </si>
  <si>
    <t>CHECK: Other Oper expenses in Statement of Financial Performance =Sum of segments</t>
  </si>
  <si>
    <t>Finance costs (Interest expenses)</t>
  </si>
  <si>
    <t>CHECK: Interest expenses in Statement of Financial Performance =Sum of segments</t>
  </si>
  <si>
    <t>Accident Compensation Corporation (ACC)</t>
  </si>
  <si>
    <t>Earthquake Commission (EQC)</t>
  </si>
  <si>
    <t>CHECK: Insurance expenses in Statement of Financial Performance =Sum of types</t>
  </si>
  <si>
    <t>STATEMENT OF SEGMENTS -CROWN ENTITY (CE) STATE-OWNED ENTERPRISE (SOE)</t>
  </si>
  <si>
    <t>CE social security and welfare</t>
  </si>
  <si>
    <t>CE insurance expenses</t>
  </si>
  <si>
    <t>SOE transport and communications expenses</t>
  </si>
  <si>
    <t>CE health expenses</t>
  </si>
  <si>
    <t>CE education expenses</t>
  </si>
  <si>
    <t>CE transport and communications expenses</t>
  </si>
  <si>
    <t>Inter-segment elimination for other non-finance exps (excl welfare, health, education &amp; transport)</t>
  </si>
  <si>
    <t>CHECK: Insurance expenses in Statement of Financial Performance =Sum of segments</t>
  </si>
  <si>
    <t>Other (includes inter-segment eliminations)</t>
  </si>
  <si>
    <t>Operating Balance (including minority interest)</t>
  </si>
  <si>
    <t>Operating balance before gains/(losses) [OBEGAL] (excludes minority interests)</t>
  </si>
  <si>
    <t>Operating balance (excludes minority interests)</t>
  </si>
  <si>
    <t>CHECK: Oper Bal (ex min ints) = OBEGAL (ex min ints) +Gains (ex min ints) +Net Surplus</t>
  </si>
  <si>
    <t>Unallocated contingencies</t>
  </si>
  <si>
    <t>Forecast new operating spending for second forecast year</t>
  </si>
  <si>
    <t>Forecast new operating spending for third forecast year</t>
  </si>
  <si>
    <t>Forecast new operating spending for fourth forecast year</t>
  </si>
  <si>
    <t>Forecast new operating spending for fifth forecast year</t>
  </si>
  <si>
    <t>Forecast new capital spending</t>
  </si>
  <si>
    <t>Total forecast new capital spending for forecast year</t>
  </si>
  <si>
    <t>CHECK: Forecast new oper spend in Statement of Financial Performance =Sum of years</t>
  </si>
  <si>
    <t>CHECK: Forecast new capital spending in Statement of Financial Position =Sum of years</t>
  </si>
  <si>
    <t>Core Crown Net Worth (Assets - Liabilities)</t>
  </si>
  <si>
    <r>
      <t xml:space="preserve">CHECK: Core Crown Net Worth in </t>
    </r>
    <r>
      <rPr>
        <b/>
        <i/>
        <sz val="11"/>
        <rFont val="Arial"/>
        <family val="2"/>
      </rPr>
      <t>Fiscal</t>
    </r>
    <r>
      <rPr>
        <b/>
        <sz val="11"/>
        <rFont val="Arial"/>
        <family val="2"/>
      </rPr>
      <t xml:space="preserve"> worksheet = Calculated value</t>
    </r>
  </si>
  <si>
    <t>CHECK: Annual change in Core Crown Net Worth = Operating Balance</t>
  </si>
  <si>
    <t>Core Crown borrowings (includes unsettled purchases of securities)</t>
  </si>
  <si>
    <t>Gross sovereign-issued debt (GSID) (a core Crown debt measure)</t>
  </si>
  <si>
    <t>Less core Crown financial assets (excludes receivables)</t>
  </si>
  <si>
    <t>Add back core Crown advances (excluding advances held by NZS Fund)</t>
  </si>
  <si>
    <t>Add back NZS Fund holdings of core Crown financial assets &amp; NZS Fund financial assets</t>
  </si>
  <si>
    <t>Net core Crown debt excluding NZS Fund and advances</t>
  </si>
  <si>
    <t>Net cash flow from operations</t>
  </si>
  <si>
    <t>Net sale/(purchase) of physical assets</t>
  </si>
  <si>
    <t>Net issue/(repayment) of borrowings</t>
  </si>
  <si>
    <t>Reconciliation between net cash flows from operations and operating balance</t>
  </si>
  <si>
    <t>Net cash flow from financing</t>
  </si>
  <si>
    <t>CHECK: Oper Balance (ex min int) = Net cash from oper+Gains+Non-cash+Mvmt WC</t>
  </si>
  <si>
    <t>UIM</t>
  </si>
  <si>
    <t>Gains and losses on financial instruments</t>
  </si>
  <si>
    <t>State-owned enterprises</t>
  </si>
  <si>
    <t>Gains and losses on non-financial instruments</t>
  </si>
  <si>
    <t>Tax receivables</t>
  </si>
  <si>
    <t>Trade and other receivables</t>
  </si>
  <si>
    <t>Kiwibank mortgages</t>
  </si>
  <si>
    <t>Student Loans</t>
  </si>
  <si>
    <t>Less initial write-down to fair value</t>
  </si>
  <si>
    <t>Repayments made during the year</t>
  </si>
  <si>
    <t>(Impairment)/reversal of impairment</t>
  </si>
  <si>
    <t>Schedule of movements</t>
  </si>
  <si>
    <t>Additions</t>
  </si>
  <si>
    <t>Disposals</t>
  </si>
  <si>
    <t>Net revaluations</t>
  </si>
  <si>
    <t>Other (mainly transfers to/from other asset categories)</t>
  </si>
  <si>
    <t>Closing balance of cost or valuation</t>
  </si>
  <si>
    <t>Eliminated on disposal</t>
  </si>
  <si>
    <t>Eliminated on revaluation</t>
  </si>
  <si>
    <t>Impairment losses charged to operating balance</t>
  </si>
  <si>
    <t>Depreciation expense</t>
  </si>
  <si>
    <t>Total accumulated depreciation and impairment</t>
  </si>
  <si>
    <t>Revenue</t>
  </si>
  <si>
    <t>Less current tax expense</t>
  </si>
  <si>
    <t>Less other expenses</t>
  </si>
  <si>
    <t>Add gains/(losses)</t>
  </si>
  <si>
    <t>Gross capital contribution from the Crown</t>
  </si>
  <si>
    <t>Closing net worth</t>
  </si>
  <si>
    <t>Financial assets</t>
  </si>
  <si>
    <t>Financial liabilities</t>
  </si>
  <si>
    <t>Net other assets</t>
  </si>
  <si>
    <t>Accounts payable</t>
  </si>
  <si>
    <t>Taxes repayable</t>
  </si>
  <si>
    <t>Other (includes inter-segment elimination)</t>
  </si>
  <si>
    <t>Gains/(losses)</t>
  </si>
  <si>
    <t>Tax receipts</t>
  </si>
  <si>
    <t>Sales of goods and services and other receipts</t>
  </si>
  <si>
    <t>Net repayment/(issue) of advances</t>
  </si>
  <si>
    <t>Net sale/(purchase) of investments</t>
  </si>
  <si>
    <t>Core Crown Residual cash surplus/(deficit)</t>
  </si>
  <si>
    <t>Total borrowing cash flows</t>
  </si>
  <si>
    <t>Net sale/(purchase) of marketable securities and deposits</t>
  </si>
  <si>
    <t>Decrease/(increase) in cash</t>
  </si>
  <si>
    <t>Residual cash deficit/(surplus) funding or investing</t>
  </si>
  <si>
    <t>CHECK: Gain/(loss) on fncl ins in Statement of Financial Performance =Sum of segments</t>
  </si>
  <si>
    <t>CHECK: Gain/(loss) on n-f ins in Statement of Financial Performance =Sum of segments</t>
  </si>
  <si>
    <t>CHECK: Receivables in Statement of Financial Position =Sum of Tax &amp; Trade versions</t>
  </si>
  <si>
    <t>Receivables from Financial assets note</t>
  </si>
  <si>
    <t>Student Loans and Kiwibank mortgages from Financial assets note</t>
  </si>
  <si>
    <t>CHECK: Student Loans in Financial assets note =Closing book value</t>
  </si>
  <si>
    <t>CHECK: Property, plant &amp; equipmt in Statement of Financial Position =Sum of segments</t>
  </si>
  <si>
    <t>Property, plant and equipment (P,P&amp;E)</t>
  </si>
  <si>
    <t>CHECK: P,P&amp;E in Statement of Financial Position =Closing balance - Accum deprc &amp; impt</t>
  </si>
  <si>
    <t>CHECK: Intangible assets &amp;goodwill in Statement of Financial Position =Sum of segments</t>
  </si>
  <si>
    <t>CHECK: Closing net worth =Sum of financial assets less liabilities and net other assets</t>
  </si>
  <si>
    <t>CHECK: Payables in Statement of Financial Position =Sum of types</t>
  </si>
  <si>
    <t>CHECK: Insurance liabilities in Statement of Financial Position =Sum of types</t>
  </si>
  <si>
    <t>Core Crown (excluding NZS Fund) residual cash</t>
  </si>
  <si>
    <t>New Zealand Superannuation Fund (NZS Fund)</t>
  </si>
  <si>
    <t>Net core Crown operating cash flows  (incl Forecast new oper spend &amp; Top-down adjust)</t>
  </si>
  <si>
    <t>Net CC capital cash flows (incl NZS Fund contrb, ann. Fcast new cap spend &amp; T-d adjust)</t>
  </si>
  <si>
    <t>CHECK: Residual cash =Sum of Core Crown operating and capital cash flows</t>
  </si>
  <si>
    <t>Source deductions (mainly PAYE on wages and salaries)</t>
  </si>
  <si>
    <t>Total corporate tax (mainly company tax)</t>
  </si>
  <si>
    <t>Total goods and services tax (consolidated GST)</t>
  </si>
  <si>
    <t>Total taxation revenue</t>
  </si>
  <si>
    <t>Inter-segment elimination of tax revenue</t>
  </si>
  <si>
    <t>Core Crown taxation revenue</t>
  </si>
  <si>
    <t>Hypothecated transport taxes (petrol duties, road user charges &amp; vehicle registration fees)</t>
  </si>
  <si>
    <t>Stable percentage of nominal GDP for source deductions tax revenue</t>
  </si>
  <si>
    <t>Stable percentage of nominal GDP for corporate tax revenue</t>
  </si>
  <si>
    <t>Stable percentage of nominal GDP for goods and services tax (GST) revenue</t>
  </si>
  <si>
    <t>Stable percentage of nominal GDP for hypothecated transport taxes revenue</t>
  </si>
  <si>
    <t>Stable percentage of nominal GDP for remaining tax types revenue</t>
  </si>
  <si>
    <t>Stable percentage of nominal GDP for tax inter-segment elimination</t>
  </si>
  <si>
    <t>Core Crown other sovereign revenue</t>
  </si>
  <si>
    <t>Other non-core Crown other sovereign revenue</t>
  </si>
  <si>
    <t>Total other sovereign revenue</t>
  </si>
  <si>
    <t>Core Crown sales of goods and services</t>
  </si>
  <si>
    <t>Total sales of goods and services (dominated by SOE sales)</t>
  </si>
  <si>
    <t>NAC</t>
  </si>
  <si>
    <t>Core Crown other revenue</t>
  </si>
  <si>
    <t>Total other revenue</t>
  </si>
  <si>
    <t>WORKING-AGE MAIN BENEFIT AGE &amp; GENDER SHARES</t>
  </si>
  <si>
    <t>Jobseeker Support aged 18 &amp; 19 years</t>
  </si>
  <si>
    <t>Jobseeker Support aged 20 to 29 years</t>
  </si>
  <si>
    <t>Jobseeker Support aged 30 to 44 years</t>
  </si>
  <si>
    <t>Jobseeker Support aged 65 years and above</t>
  </si>
  <si>
    <t>Jobseeker Support aged 55 to 64 years</t>
  </si>
  <si>
    <t>Jobseeker Support aged 45 to 54 years</t>
  </si>
  <si>
    <t>New Zealand Superannuation (NZS), main public pension</t>
  </si>
  <si>
    <t>Annual growth rates of selected age and gender groups</t>
  </si>
  <si>
    <t>Aged 65 years and over</t>
  </si>
  <si>
    <t>Supported Living Payment aged 18 &amp; 19 years</t>
  </si>
  <si>
    <t>Supported Living Payment aged 65 years and above</t>
  </si>
  <si>
    <t>Supported Living Payment aged 20 to 39 years</t>
  </si>
  <si>
    <t>Supported Living Payment aged 40 to 49 years</t>
  </si>
  <si>
    <t>Supported Living Payment aged 50 to 59 years</t>
  </si>
  <si>
    <t>Supported Living Payment aged 60 to 64 years</t>
  </si>
  <si>
    <t>Sole Parent Support Females aged 18 &amp; 19 years</t>
  </si>
  <si>
    <t>Sole Parent Support Females aged 20 to 29 years</t>
  </si>
  <si>
    <t>Sole Parent Support Females aged 30 to 44 years</t>
  </si>
  <si>
    <t>Sole Parent Support Females aged 45 to 59 years</t>
  </si>
  <si>
    <t>Sole Parent Support Males aged 20 to 59 years</t>
  </si>
  <si>
    <t>Sole Parent Support aged 60 years and above</t>
  </si>
  <si>
    <t xml:space="preserve">Aged 18 &amp; 19 years </t>
  </si>
  <si>
    <t xml:space="preserve">Females, Aged 18 &amp; 19 years </t>
  </si>
  <si>
    <t xml:space="preserve">Aged 20 to 29 years </t>
  </si>
  <si>
    <t xml:space="preserve">Females, Aged 20 to 29 years </t>
  </si>
  <si>
    <t xml:space="preserve">Aged 20 to 39 years </t>
  </si>
  <si>
    <t xml:space="preserve">Aged 30 to 44 years </t>
  </si>
  <si>
    <t xml:space="preserve">Females, Aged 30 to 44 years </t>
  </si>
  <si>
    <t xml:space="preserve">Aged 40 to 49 years </t>
  </si>
  <si>
    <t xml:space="preserve">Aged 45 to 54 years </t>
  </si>
  <si>
    <t xml:space="preserve">Females, Aged 45 to 59 years </t>
  </si>
  <si>
    <t xml:space="preserve">Males, Aged 20 to 59 years </t>
  </si>
  <si>
    <t xml:space="preserve">Aged 50 to 59 years </t>
  </si>
  <si>
    <t xml:space="preserve">Aged 55 to 64 years </t>
  </si>
  <si>
    <t xml:space="preserve">Aged 60 to 64 years </t>
  </si>
  <si>
    <t>Jobseeker support and emergency benefit</t>
  </si>
  <si>
    <t>Net of tax &amp; ACC Earner levy average ordinary time weekly earnings ($ per week)</t>
  </si>
  <si>
    <t>Gross per person weekly couple rate of New Zealand Superannuation ($ per week)</t>
  </si>
  <si>
    <t>New Zealand Superannuation projection parameters</t>
  </si>
  <si>
    <t>Percentage of net ordinary time weekly earnings that serves as NZS wage floor</t>
  </si>
  <si>
    <t>Net per person weekly couple rate of New Zealand Superannuation ($ per week)</t>
  </si>
  <si>
    <t>Working for Families tax credits</t>
  </si>
  <si>
    <t>Aged 15 years and above (WAP)</t>
  </si>
  <si>
    <t>Supplementary benefits</t>
  </si>
  <si>
    <t>Stable percentage of nominal GDP for supplementary benefits</t>
  </si>
  <si>
    <t>Welfare benefits (approx. as Total social asstnce grants minus Student allowances)</t>
  </si>
  <si>
    <t>Total social assistance grants</t>
  </si>
  <si>
    <t>KiwiSaver subsidies</t>
  </si>
  <si>
    <t>Total transfer payments and subsidies</t>
  </si>
  <si>
    <t>Stable percentage of nominal GDP for official development assistance (ODA)</t>
  </si>
  <si>
    <t>Core Crown transfer payments and subsidies</t>
  </si>
  <si>
    <t>Departmental and non-departmental social security and welfare expenses</t>
  </si>
  <si>
    <t>Core Crown social security and welfare expenses</t>
  </si>
  <si>
    <t>Crown entities social security and welfare expenses (dominated by ACC payments)</t>
  </si>
  <si>
    <t>Inter-segment elimination for social security &amp; welfare exps (Crown share of ACC paymts)</t>
  </si>
  <si>
    <t>Total social security and welfare expenses</t>
  </si>
  <si>
    <t>State-owned enterprises (SOE's)</t>
  </si>
  <si>
    <t>Inter-segment elimination</t>
  </si>
  <si>
    <t>Total personnel expenses</t>
  </si>
  <si>
    <t>Total other operating expenses</t>
  </si>
  <si>
    <t>Interest expenses (also called Finance costs)</t>
  </si>
  <si>
    <t>Total interest expenses</t>
  </si>
  <si>
    <t>Effective interest rate on core Crown gross debt</t>
  </si>
  <si>
    <t>Total insurance expenses</t>
  </si>
  <si>
    <t>ACC</t>
  </si>
  <si>
    <t>EQC &amp; other insurance expenses</t>
  </si>
  <si>
    <t>Forecasting new operating spending</t>
  </si>
  <si>
    <t>New operating spending annual increment in first projected year ($ billion)</t>
  </si>
  <si>
    <t>Annual growth rate of annual increment to new operating spending in later projected years</t>
  </si>
  <si>
    <t>Health expenses</t>
  </si>
  <si>
    <t>Total health expenses</t>
  </si>
  <si>
    <t>Education expenses</t>
  </si>
  <si>
    <t>Student loans - initial write-down to fair value and impairment</t>
  </si>
  <si>
    <t>Student loans</t>
  </si>
  <si>
    <t>Closing book value</t>
  </si>
  <si>
    <t>Other core Crown education expenses</t>
  </si>
  <si>
    <t>Core Crown education expenses</t>
  </si>
  <si>
    <t>Total education expenses</t>
  </si>
  <si>
    <t>Core government services expenses</t>
  </si>
  <si>
    <t>Operating balance of NZS Fund</t>
  </si>
  <si>
    <t>Capital contribution from/(withdrawal to) the Crown</t>
  </si>
  <si>
    <t>Less repayments made during the year</t>
  </si>
  <si>
    <t>Less impairment</t>
  </si>
  <si>
    <t>Comprising:</t>
  </si>
  <si>
    <t>Less Financial liabilities</t>
  </si>
  <si>
    <t>Tax receivable write-down and impairments</t>
  </si>
  <si>
    <t>From Exogenous</t>
  </si>
  <si>
    <t>TAX RECEIVABLE WRITE-DOWN AND IMPAIRMENTS</t>
  </si>
  <si>
    <t>($ billions)</t>
  </si>
  <si>
    <t>Other core Crown core government services expenses</t>
  </si>
  <si>
    <t>Core Crown core government services expenses</t>
  </si>
  <si>
    <t>Total core government services expenses</t>
  </si>
  <si>
    <t>Core Crown law and order expenses</t>
  </si>
  <si>
    <t>Total law and order expenses</t>
  </si>
  <si>
    <t>Core Crown defence expenses</t>
  </si>
  <si>
    <t>Total defence expenses</t>
  </si>
  <si>
    <t>Transport and communications expenses</t>
  </si>
  <si>
    <t>Total transport and communications expenses</t>
  </si>
  <si>
    <t>Economic and industrial services expenses</t>
  </si>
  <si>
    <t>Other core Crown economic and industrial services expenses</t>
  </si>
  <si>
    <t>Core Crown economic and industrial services expenses</t>
  </si>
  <si>
    <t>Total economic and industrial services expenses</t>
  </si>
  <si>
    <t>Core Crown heritage, culture and recreation expenses</t>
  </si>
  <si>
    <t>Total heritage, culture and recreation expenses</t>
  </si>
  <si>
    <t>Core Crown primary services expenses</t>
  </si>
  <si>
    <t>Total primary services expenses</t>
  </si>
  <si>
    <t>Core Crown housing and community development expenses</t>
  </si>
  <si>
    <t>Total housing and community development expenses</t>
  </si>
  <si>
    <t>Core Crown environmental protection expenses</t>
  </si>
  <si>
    <t>Total environmental protection expenses</t>
  </si>
  <si>
    <t>Core Crown other expenses</t>
  </si>
  <si>
    <t>Total other expenses</t>
  </si>
  <si>
    <t>Non-core Crown expenses excluding welfare, health, education, transport &amp; interest</t>
  </si>
  <si>
    <t>State-owned enterprises (projected as ratio of Economic &amp; industrial services)</t>
  </si>
  <si>
    <t>Inter-segment elimination (projected as Total less core Crown less CE &amp; SOE terms)</t>
  </si>
  <si>
    <t>Gains and losses on financial and non-financial instruments</t>
  </si>
  <si>
    <t>Total gains and losses</t>
  </si>
  <si>
    <t>Core Crown net surplus/(deficit) from associates and joint ventures</t>
  </si>
  <si>
    <t>Total net surplus/(deficit) from associates and joint ventures</t>
  </si>
  <si>
    <t>NZS Fund cash and cash equivalents</t>
  </si>
  <si>
    <t>Other core Crown cash and cash equivalents</t>
  </si>
  <si>
    <t>Core Crown cash and cash equivalents</t>
  </si>
  <si>
    <t>Total cash and cash equivalents</t>
  </si>
  <si>
    <t>NZS Fund receivables</t>
  </si>
  <si>
    <t>Other core Crown receivables</t>
  </si>
  <si>
    <t>Core Crown receivables</t>
  </si>
  <si>
    <t>Total receivables</t>
  </si>
  <si>
    <t>CE marketable securities, deposits and derivatives in gain</t>
  </si>
  <si>
    <t>SOE marketable securities, deposits and derivatives in gain</t>
  </si>
  <si>
    <t>CE share investments</t>
  </si>
  <si>
    <t>SOE share investments</t>
  </si>
  <si>
    <t>NZS Fund marketable securities, deposits and derivatives in gain</t>
  </si>
  <si>
    <t>Other core Crown marketable securities, deposits and derivatives in gain</t>
  </si>
  <si>
    <t>Core Crown marketable securities, deposits and derivatives in gain</t>
  </si>
  <si>
    <t>CORE CROWN RESIDUAL CASH (EXCLUDES NZS FUND)</t>
  </si>
  <si>
    <t>Net core Crown operating cash flows</t>
  </si>
  <si>
    <t>Net core Crown capital cash flows</t>
  </si>
  <si>
    <t>Residual cash surplus/(deficit)</t>
  </si>
  <si>
    <t>Total investing cash flows</t>
  </si>
  <si>
    <t>Less Transfer payments and subsidies</t>
  </si>
  <si>
    <t>Less Personnel and operating costs</t>
  </si>
  <si>
    <t>Less Interest payments</t>
  </si>
  <si>
    <t>Less Capital contribution/(withdrawal) to the NZS Fund</t>
  </si>
  <si>
    <t>Total marketable securities, deposits and derivatives in gain</t>
  </si>
  <si>
    <t>Operating allowances</t>
  </si>
  <si>
    <t>Government Superannuation Fund (GSF) pension expenses</t>
  </si>
  <si>
    <t>Core Crown GSF pension expenses</t>
  </si>
  <si>
    <t>Total GSF pension expenses</t>
  </si>
  <si>
    <t>Law and order expenses</t>
  </si>
  <si>
    <t>Defence expenses</t>
  </si>
  <si>
    <t>Heritage, culture and recreation expenses</t>
  </si>
  <si>
    <t>Primary services expenses</t>
  </si>
  <si>
    <t>Housing and community development expenses</t>
  </si>
  <si>
    <t>Environmental protection expenses</t>
  </si>
  <si>
    <t>Other expenses</t>
  </si>
  <si>
    <t>NZS Fund share investments</t>
  </si>
  <si>
    <t>Other core Crown share investments</t>
  </si>
  <si>
    <t>Core Crown share investments</t>
  </si>
  <si>
    <t>Total share investments</t>
  </si>
  <si>
    <t>NZS Fund advances</t>
  </si>
  <si>
    <t>Other core Crown advances</t>
  </si>
  <si>
    <t>Core Crown advances</t>
  </si>
  <si>
    <t>Total advances</t>
  </si>
  <si>
    <t>Kiwibank mortgages (SOE)</t>
  </si>
  <si>
    <t>Other non-core Crown advances, mainly inter-segment eliminations</t>
  </si>
  <si>
    <t>Core Crown inventory (approximated)</t>
  </si>
  <si>
    <t>Total inventory</t>
  </si>
  <si>
    <t>Core Crown other assets (approximated)</t>
  </si>
  <si>
    <t>Total other assets</t>
  </si>
  <si>
    <t>Property, plant and equipment</t>
  </si>
  <si>
    <t>Total property, plant and equipment</t>
  </si>
  <si>
    <t>Total net additions less disposals plus net revaluations plus other transfers</t>
  </si>
  <si>
    <t>Core Crown property, plant and equipment</t>
  </si>
  <si>
    <t>NZS Fund property, plant and equipment</t>
  </si>
  <si>
    <t>Other core Crown property, plant and equipment</t>
  </si>
  <si>
    <t>NZS Fund equity accounted investments</t>
  </si>
  <si>
    <t>Other core Crown equity accounted investments</t>
  </si>
  <si>
    <t>Core Crown equity accounted investments</t>
  </si>
  <si>
    <t>Total equity accounted investments</t>
  </si>
  <si>
    <t>Total intangible assets and goodwill</t>
  </si>
  <si>
    <t>Forecast new spending for Budget in first forecast year</t>
  </si>
  <si>
    <t>Forecast new spending for Budget in second forecast year</t>
  </si>
  <si>
    <t>Forecast new spending for Budget in third forecast year</t>
  </si>
  <si>
    <t>Forecast new spending for Budget in fourth forecast year</t>
  </si>
  <si>
    <t>Forecast new spending for Budget in fifth forecast year</t>
  </si>
  <si>
    <t>Forecast new spending for Budget in projected years</t>
  </si>
  <si>
    <t>Total addition to forecast new capital spending in year</t>
  </si>
  <si>
    <t>Annual forecast new capital spending for year</t>
  </si>
  <si>
    <t>New capital spending annual increment in first projected year ($ billion)</t>
  </si>
  <si>
    <t>Annual growth rate of annual increment to new capital spending in later projected years</t>
  </si>
  <si>
    <t>Core Crown (there are no Crown entity or SOE issued currency liabilities)</t>
  </si>
  <si>
    <t>NZS Fund payables</t>
  </si>
  <si>
    <t>Other core Crown payables</t>
  </si>
  <si>
    <t>Core Crown payables</t>
  </si>
  <si>
    <t>Total payables</t>
  </si>
  <si>
    <t>Core Crown deferred revenue</t>
  </si>
  <si>
    <t>Total deferred revenue</t>
  </si>
  <si>
    <t>Accident Compensation Corporation (ACC, a Crown entity)</t>
  </si>
  <si>
    <t>Other non-core Crown insurance liabilities, including inter-segment eliminations</t>
  </si>
  <si>
    <t>Total insurance liabilities</t>
  </si>
  <si>
    <t>Core Crown insurance liabilities</t>
  </si>
  <si>
    <t>Retirement plan liabilities (dominated by Government Superannuation Fund)</t>
  </si>
  <si>
    <t>Core Crown retirement plan liabilities</t>
  </si>
  <si>
    <t>Non-core Crown retirement plan liabilities</t>
  </si>
  <si>
    <t>Total retirement plan liabilities</t>
  </si>
  <si>
    <t>Core Crown provisions</t>
  </si>
  <si>
    <t>Total provisions</t>
  </si>
  <si>
    <t>Student loans (interest unwind)</t>
  </si>
  <si>
    <t>Total Crown revenue (excluding Gains)</t>
  </si>
  <si>
    <t>Less Total Crown expenses (excluding Losses)</t>
  </si>
  <si>
    <t>Total Crown total gains/(losses)</t>
  </si>
  <si>
    <t>Less Minority interest share of operating balance before gains/(losses)</t>
  </si>
  <si>
    <t>Less Minority interest share of net gains/(losses)</t>
  </si>
  <si>
    <t>Operating balance (excluding Minority interests)</t>
  </si>
  <si>
    <t>Core Crown revenue (excluding Gains)</t>
  </si>
  <si>
    <t>Core Crown expenses (excluding Losses)</t>
  </si>
  <si>
    <t>Total Crown operating balance before gains and losses (OBEGAL)</t>
  </si>
  <si>
    <t>Total Crown operating balance (excluding minority interests)</t>
  </si>
  <si>
    <t>CHECK: Total Crown expenses: Functional classes sum = Operational classes sum</t>
  </si>
  <si>
    <t>Core Crown primary balance</t>
  </si>
  <si>
    <t>Core Crown residual cash</t>
  </si>
  <si>
    <t>CHECK: Core Crown expenses: Functional classes sum = Operational classes sum</t>
  </si>
  <si>
    <t>Total Crown assets</t>
  </si>
  <si>
    <t>Total net worth attributable to the Crown</t>
  </si>
  <si>
    <r>
      <t xml:space="preserve">CHECK: Total Crown net worth in </t>
    </r>
    <r>
      <rPr>
        <b/>
        <i/>
        <sz val="11"/>
        <rFont val="Arial"/>
        <family val="2"/>
      </rPr>
      <t>Fiscal</t>
    </r>
    <r>
      <rPr>
        <b/>
        <sz val="11"/>
        <rFont val="Arial"/>
        <family val="2"/>
      </rPr>
      <t xml:space="preserve"> worksheet = Calculated value</t>
    </r>
  </si>
  <si>
    <t>CHECK: Annual change in Total Crown net worth = Operating balance (ex min int)</t>
  </si>
  <si>
    <t>Less Total Crown liabilities</t>
  </si>
  <si>
    <t>Total Crown net worth</t>
  </si>
  <si>
    <t>Less Core Crown borrowings (excludes unsettled purchases of securities)</t>
  </si>
  <si>
    <t xml:space="preserve">Final projected year for KiwiSaver subsidies exogenous track (switches to GDP growth after this) </t>
  </si>
  <si>
    <t>Small asset &amp; liability class transition parameters to reach stable % of GDP in projections</t>
  </si>
  <si>
    <t>For several small asset and liability classes the projection moves towards an average percentage of nominal GDP. This average is</t>
  </si>
  <si>
    <t>last forecast year and cannot be more than 5 years. The number of projected years to achieve the full transition is also selected here.</t>
  </si>
  <si>
    <t>Number of forecast years, beginning with the last, used to calculate average percentage of GDP</t>
  </si>
  <si>
    <t>Number of projected years used to transition from the end of forecast to the stable % of GDP</t>
  </si>
  <si>
    <t>Transition increments for small asset &amp; liability classes</t>
  </si>
  <si>
    <t>Cost of concessionary lending</t>
  </si>
  <si>
    <t>CHECK: Residual cash s/(d) = Negative of sum of borrowing + investing cash flows</t>
  </si>
  <si>
    <t>CORE CROWN STATEMENT OF CASH FLOWS (FROM RESIDUAL CASH)</t>
  </si>
  <si>
    <t>Net cash flow from operations (add back NZS Fund variables, subtract NZS Fund tax)</t>
  </si>
  <si>
    <t>Net cash flow from investing (capital cash + cash from MSDs &amp; shares &amp; NZS Fund cash)</t>
  </si>
  <si>
    <t>Net movement in core Crown cash and cash equivalents</t>
  </si>
  <si>
    <t>CHECK: Core Crown Oper Bal = Net cash from oper+Gains+Non-cash+Mvmt WC</t>
  </si>
  <si>
    <t>CC financial assets from Statement of Borrowings =Cash +MSDs +Shares +Advances</t>
  </si>
  <si>
    <t>Number of projected years before effective interest rate reaches stable Govt bond rate</t>
  </si>
  <si>
    <t>Less Forecast for future new capital spending and Top-down capital expense adjustment</t>
  </si>
  <si>
    <t>Less Forecast for future new operating spending and Top-down expense adjustment</t>
  </si>
  <si>
    <t>Forecast for future new operating spending and Top-down expense adjustment</t>
  </si>
  <si>
    <t>Less Depreciation and amortisation</t>
  </si>
  <si>
    <t>Total cash disbursed to operations</t>
  </si>
  <si>
    <t>Net cash flow from investing</t>
  </si>
  <si>
    <t>Less Cost of concessionary lending and impairment on financial assets (excluding receivables)</t>
  </si>
  <si>
    <t>Total other non-cash items</t>
  </si>
  <si>
    <t>Total gains/(losses) less minority interest share of gains/(losses)</t>
  </si>
  <si>
    <t>Net issue/(repayment) of borrowings = Ann. change in cash - Sum of components above</t>
  </si>
  <si>
    <t>Less NZS Fund borrowings minus any holdings of sovereign-issued debt by the NZS Fund</t>
  </si>
  <si>
    <t>Less Net purchase/(sale) of physical assets</t>
  </si>
  <si>
    <t>Less Net purchase/(sale) of shares and other securities</t>
  </si>
  <si>
    <t>Less Net purchase/(sale) of intangible assets</t>
  </si>
  <si>
    <t>Less Net issues/(repayment) of advances</t>
  </si>
  <si>
    <t>Less Net acquisition/(divestment) of investments in associates</t>
  </si>
  <si>
    <t>Less Increase/(decrease) in defined benefit retirement plan liabilities</t>
  </si>
  <si>
    <t>Less Increase/(decrease) in insurance liabilities</t>
  </si>
  <si>
    <t>Less Other</t>
  </si>
  <si>
    <t>Less Increase/(decrease) in deferred revenue</t>
  </si>
  <si>
    <t>Less Increase/(decrease) in payables/provisions</t>
  </si>
  <si>
    <t>Less Core Crown elimination, impairment and transfers to other assets</t>
  </si>
  <si>
    <t>Less Total elimination, impairment and transfers to other assets</t>
  </si>
  <si>
    <t>Less Net issue/(repayment) of advances</t>
  </si>
  <si>
    <t>Less Net purchase/(sale) of investments</t>
  </si>
  <si>
    <r>
      <t xml:space="preserve">Select key fiscal variable, in nominal dollars, from drop-down box </t>
    </r>
    <r>
      <rPr>
        <b/>
        <sz val="11"/>
        <color indexed="8"/>
        <rFont val="Calibri"/>
        <family val="2"/>
      </rPr>
      <t>↓</t>
    </r>
  </si>
  <si>
    <t>Total Crown OBEGAL</t>
  </si>
  <si>
    <t>Gross sovereign-issued debt</t>
  </si>
  <si>
    <t>Net core Crown debt (excl. NZS Fund financial assets &amp; advances)</t>
  </si>
  <si>
    <t>Total Crown revenue</t>
  </si>
  <si>
    <t>Total Crown expenses</t>
  </si>
  <si>
    <t>Total Crown net worth attributable to the Crown</t>
  </si>
  <si>
    <t>Total Crown borrowings</t>
  </si>
  <si>
    <t>Total Crown tax revenue</t>
  </si>
  <si>
    <t>Core Crown tax revenue</t>
  </si>
  <si>
    <t>Key fiscal indicator displayed as percentage of nominal GDP</t>
  </si>
  <si>
    <r>
      <t xml:space="preserve">Key fiscal variable selected from drop-down list box </t>
    </r>
    <r>
      <rPr>
        <b/>
        <sz val="12"/>
        <color indexed="8"/>
        <rFont val="Calibri"/>
        <family val="2"/>
      </rPr>
      <t>↓</t>
    </r>
  </si>
  <si>
    <t>Less Net purchase/(sale) of marketable securities and deposits (MSDs) and shares</t>
  </si>
  <si>
    <t>2004/05</t>
  </si>
  <si>
    <t>The Financial Statements of the Government of New Zealand are now prepared under the Public Sector Public Benefit Entities (PBE) accounting standard.</t>
  </si>
  <si>
    <t>However prior to the fiscal year (year ended 30 June) 2014/15  these accounts were prepared using an International Financial Reporting Standards (IFRS) standard.</t>
  </si>
  <si>
    <t>As all fiscal data has not been backdated to the PBE standard only the main fiscal indicators reported in the drop-down box at the top of the main modelling worksheet are given in this worksheet.</t>
  </si>
  <si>
    <t>As percentage of nominal GDP</t>
  </si>
  <si>
    <t>Total core Crown expenses</t>
  </si>
  <si>
    <t>Zero marker (set to zero to avoid using any pasted in numbers in modelling worksheets)</t>
  </si>
  <si>
    <t>Historical</t>
  </si>
  <si>
    <r>
      <t xml:space="preserve">Year </t>
    </r>
    <r>
      <rPr>
        <b/>
        <sz val="11"/>
        <color indexed="12"/>
        <rFont val="Calibri"/>
        <family val="2"/>
      </rPr>
      <t>↓</t>
    </r>
  </si>
  <si>
    <t>History &amp; Forecast only</t>
  </si>
  <si>
    <t>First Projected Year (key variable, must set to year immediately after last forecast year)</t>
  </si>
  <si>
    <t>Any year variable used in this worksheet should be a number variable but will refer to a June-end year e.g. enter the number 2021 for the year ended 30 June 2021 or fiscal year 2020/21.</t>
  </si>
  <si>
    <t>The nominal GDP divisor used in the main modelling worksheet has also been provided in this worksheet for these historical years.</t>
  </si>
  <si>
    <t>NOMINAL GDP (expenditure measure)</t>
  </si>
  <si>
    <t>Stable percentage of nominal GDP for main working-age benefits</t>
  </si>
  <si>
    <t>Assumptions</t>
  </si>
  <si>
    <t>Exogenous</t>
  </si>
  <si>
    <t>Display</t>
  </si>
  <si>
    <t>None.</t>
  </si>
  <si>
    <t>In cell B1 at the top of the new modelling</t>
  </si>
  <si>
    <t>There are standard sets of assumptions</t>
  </si>
  <si>
    <t>the main modelling worksheets by right</t>
  </si>
  <si>
    <t>new modelled scenario is to copy one of</t>
  </si>
  <si>
    <t>needed to run a scenario are entered by</t>
  </si>
  <si>
    <t>Any modelling worksheet that is set up.</t>
  </si>
  <si>
    <t xml:space="preserve">All of the assumptions and parameters </t>
  </si>
  <si>
    <t>Used in many places throughout the main</t>
  </si>
  <si>
    <t>various sections tally with each other.</t>
  </si>
  <si>
    <t>State-owned enterprise (SOE) variables.</t>
  </si>
  <si>
    <t>in some cases extends to Crown entity and</t>
  </si>
  <si>
    <t>core Crown and total Crown variables, and</t>
  </si>
  <si>
    <t>in this worksheet. Because there is so</t>
  </si>
  <si>
    <t>in the main modelling worksheets. Covers</t>
  </si>
  <si>
    <t>liability, revenue and expense categories</t>
  </si>
  <si>
    <t>Used as the base of projections of asset,</t>
  </si>
  <si>
    <t>in these main modelling worksheets.</t>
  </si>
  <si>
    <t>into the projection of NZ Superannuation</t>
  </si>
  <si>
    <t>Also used as the base of various inputs</t>
  </si>
  <si>
    <t>in the main modelling worksheets.</t>
  </si>
  <si>
    <t>Used as the base of economic projections</t>
  </si>
  <si>
    <t>and to help users of the model.</t>
  </si>
  <si>
    <t>None. Purely for information purposes</t>
  </si>
  <si>
    <t>characteristic of being produced outside</t>
  </si>
  <si>
    <t>outside agencies. They all share the</t>
  </si>
  <si>
    <t>modelling worksheets, often in regard to</t>
  </si>
  <si>
    <t xml:space="preserve">projected tracks and demographic </t>
  </si>
  <si>
    <t>This worksheet contains a number of</t>
  </si>
  <si>
    <t>real and nominal GDP.</t>
  </si>
  <si>
    <t>a key driver in the projections of both</t>
  </si>
  <si>
    <t>aggregate labour force. This variable is</t>
  </si>
  <si>
    <t>main modelling worksheets to project the</t>
  </si>
  <si>
    <t>projections, by gender and single year of</t>
  </si>
  <si>
    <t>Used in the economic projections of the</t>
  </si>
  <si>
    <t>Zealand Superannuation (NZS) and other</t>
  </si>
  <si>
    <t>some expense types, especially New</t>
  </si>
  <si>
    <t>Used as a driver of recipient numbers for</t>
  </si>
  <si>
    <t>in projecting some economic variables.</t>
  </si>
  <si>
    <t>modelling worksheets, wherever</t>
  </si>
  <si>
    <t>Used in numerous places in the main</t>
  </si>
  <si>
    <t>Sources</t>
  </si>
  <si>
    <t>various worksheets in the model interact.</t>
  </si>
  <si>
    <t>information to help users know how the</t>
  </si>
  <si>
    <t>Guide</t>
  </si>
  <si>
    <t>of the main modelling worksheets.</t>
  </si>
  <si>
    <t>track to be displayed at the top of each</t>
  </si>
  <si>
    <t>offsets to allow the chosen fiscal variable</t>
  </si>
  <si>
    <t>Each of the main modelling worksheets.</t>
  </si>
  <si>
    <t>This is a hidden worksheet. It provides</t>
  </si>
  <si>
    <t>Uses outputs from these worksheets</t>
  </si>
  <si>
    <t>Provides inputs to these worksheets</t>
  </si>
  <si>
    <t>Purpose</t>
  </si>
  <si>
    <t>Forecasts</t>
  </si>
  <si>
    <t>downs &amp; impairments</t>
  </si>
  <si>
    <t>Mainly from Financial Statements published in past Budget EFU reports</t>
  </si>
  <si>
    <t>Historic data from Treasury publications</t>
  </si>
  <si>
    <t>History</t>
  </si>
  <si>
    <t>Tax Receivable write-</t>
  </si>
  <si>
    <t>2012 version</t>
  </si>
  <si>
    <t>Projection produced by actuaries for GSF</t>
  </si>
  <si>
    <t>Projections</t>
  </si>
  <si>
    <t>Fund (GSF)</t>
  </si>
  <si>
    <t>Superannuation</t>
  </si>
  <si>
    <t>Government</t>
  </si>
  <si>
    <t>Department (IRD)</t>
  </si>
  <si>
    <t xml:space="preserve">Inland Revenue </t>
  </si>
  <si>
    <t>KiwiSaver expenses</t>
  </si>
  <si>
    <t>Projection produced by ACC</t>
  </si>
  <si>
    <t>NZS Fund model website</t>
  </si>
  <si>
    <t>Projection produced by Treasury</t>
  </si>
  <si>
    <t>Fund (NZS Fund)</t>
  </si>
  <si>
    <t>New Zealand</t>
  </si>
  <si>
    <t>Forecasts from Ministry of Social</t>
  </si>
  <si>
    <t>transfers</t>
  </si>
  <si>
    <t>Social welfare</t>
  </si>
  <si>
    <t xml:space="preserve">Projections from Statistics NZ </t>
  </si>
  <si>
    <t>single year of age)</t>
  </si>
  <si>
    <t>(by gender and</t>
  </si>
  <si>
    <t>Based on Household Labour Force Survey (HLFS)</t>
  </si>
  <si>
    <t>Labour Force</t>
  </si>
  <si>
    <t>Statistics New Zealand website</t>
  </si>
  <si>
    <t>Historic data from Treasury databases</t>
  </si>
  <si>
    <t>This version of the FSM uses:</t>
  </si>
  <si>
    <t>Stable percentage of nominal GDP for Working for Families (WFF) tax credits</t>
  </si>
  <si>
    <t>Stable percentage of nominal GDP for Student Allowances</t>
  </si>
  <si>
    <t>Fiscal drag elasticity applied to nominal wage growth</t>
  </si>
  <si>
    <t>No</t>
  </si>
  <si>
    <t>TAX PARAMETERS</t>
  </si>
  <si>
    <t>Tax rate</t>
  </si>
  <si>
    <t>Taxable income over $70,000 per year</t>
  </si>
  <si>
    <t>Gross ordinary time weekly earnings ($ per week)</t>
  </si>
  <si>
    <t>Gross average ordinary time weekly earnings ($ per week)</t>
  </si>
  <si>
    <t>ACC Earner levy</t>
  </si>
  <si>
    <t>Income limits</t>
  </si>
  <si>
    <t>Gross</t>
  </si>
  <si>
    <t>Net</t>
  </si>
  <si>
    <t>Tax</t>
  </si>
  <si>
    <t>SPECIFIC FISCAL ASSUMPTIONS RELATED TO STABILISING NET DEBT</t>
  </si>
  <si>
    <t>Desired percentage of GDP that net debt stabilises around</t>
  </si>
  <si>
    <t>Minimum annual increment for any projected Operating Allowance, as a percentage of GDP</t>
  </si>
  <si>
    <t>Mid-range annual increment for any projected Operating Allowance, as a percentage of GDP</t>
  </si>
  <si>
    <t>Maximum annual increment for any projected Operating Allowance, as a percentage of GDP</t>
  </si>
  <si>
    <t>Width of band around target percentage, to stay within, as a percentage of GDP</t>
  </si>
  <si>
    <t>This section allows the Operating Allowances to change in projected years in order to stabilise net core Crown debt at some chosen</t>
  </si>
  <si>
    <t>percentage of nominal GDP.</t>
  </si>
  <si>
    <t>Operating allowance annual increments to maintain net debt as percentage of GDP</t>
  </si>
  <si>
    <t>Enter fiscal year from which this stabilisation process begins</t>
  </si>
  <si>
    <t>Net-to-gross tax wedge</t>
  </si>
  <si>
    <t>Annual increment to forecast new operating spending (depicted whether allocated or not)</t>
  </si>
  <si>
    <t>Annual increment to top-down expense adjustment (depicted whether allocated or not)</t>
  </si>
  <si>
    <t>Total forecast new capital spending (cumulative)(displayed whether allocated or not)</t>
  </si>
  <si>
    <t>Top-down capital adjustment (cumulative) (displayed whether allocated or not)</t>
  </si>
  <si>
    <t>NZS Fund model</t>
  </si>
  <si>
    <t>on the Treasury</t>
  </si>
  <si>
    <t>Makes use of forecast core Crown gross</t>
  </si>
  <si>
    <t>debt and debt financing costs from the</t>
  </si>
  <si>
    <t>ALTERNATE NEW ZEALAND SUPERANNUATION FUND TRACKS PRODUCED BY TREASURY MODEL</t>
  </si>
  <si>
    <t xml:space="preserve">The NZS Fund projected tracks in this worksheet are produced by the Treasury NZS Fund model. </t>
  </si>
  <si>
    <t>The projections and/or data in this worksheet are either produced by other Treasury models or obtained from other public sector agencies. They are used in the main modelling worksheets of the Fiscal Strategy Model.</t>
  </si>
  <si>
    <t>Historical and forecast data in this worksheet are produced by the Treasury. They are used in the main modelling worksheets of the Fiscal Strategy Model.</t>
  </si>
  <si>
    <t>This worksheet is where the economic and fiscal modelling assumptions are entered. They are used in the main modelling worksheets of the Fiscal Strategy Model.</t>
  </si>
  <si>
    <t>NEW ZEALAND SUPERANNUATION (NZS) FUND</t>
  </si>
  <si>
    <t>Tax expense</t>
  </si>
  <si>
    <t>Non-tax expenses</t>
  </si>
  <si>
    <t>Closing NZS Fund balance</t>
  </si>
  <si>
    <t>Check components add up to closing balance</t>
  </si>
  <si>
    <r>
      <rPr>
        <i/>
        <sz val="11"/>
        <color indexed="8"/>
        <rFont val="Arial"/>
        <family val="2"/>
      </rPr>
      <t>less</t>
    </r>
    <r>
      <rPr>
        <sz val="11"/>
        <color indexed="8"/>
        <rFont val="Arial"/>
        <family val="2"/>
      </rPr>
      <t xml:space="preserve"> Tax expense</t>
    </r>
  </si>
  <si>
    <r>
      <rPr>
        <i/>
        <sz val="11"/>
        <color indexed="8"/>
        <rFont val="Arial"/>
        <family val="2"/>
      </rPr>
      <t>less</t>
    </r>
    <r>
      <rPr>
        <sz val="11"/>
        <color indexed="8"/>
        <rFont val="Arial"/>
        <family val="2"/>
      </rPr>
      <t xml:space="preserve"> Non-tax expenses</t>
    </r>
  </si>
  <si>
    <t>Latest forecast distribution of revenue, non-tax expenses and gains/(losses)</t>
  </si>
  <si>
    <t>TRACK 1</t>
  </si>
  <si>
    <t>TRACK 2</t>
  </si>
  <si>
    <t>Capital contrib/(withdr)</t>
  </si>
  <si>
    <t>Rev - N-t exp + G/(L)</t>
  </si>
  <si>
    <t>Other mvmts in res</t>
  </si>
  <si>
    <r>
      <t xml:space="preserve">Select track number to apply </t>
    </r>
    <r>
      <rPr>
        <b/>
        <sz val="11"/>
        <color indexed="8"/>
        <rFont val="Calibri"/>
        <family val="2"/>
      </rPr>
      <t>→</t>
    </r>
  </si>
  <si>
    <r>
      <rPr>
        <sz val="11"/>
        <color indexed="8"/>
        <rFont val="Calibri"/>
        <family val="2"/>
      </rPr>
      <t>∆</t>
    </r>
    <r>
      <rPr>
        <sz val="11"/>
        <color indexed="8"/>
        <rFont val="Arial"/>
        <family val="2"/>
      </rPr>
      <t xml:space="preserve"> finance costs from current year impacts</t>
    </r>
  </si>
  <si>
    <r>
      <rPr>
        <sz val="11"/>
        <color indexed="8"/>
        <rFont val="Calibri"/>
        <family val="2"/>
      </rPr>
      <t>∆</t>
    </r>
    <r>
      <rPr>
        <sz val="11"/>
        <color indexed="8"/>
        <rFont val="Arial"/>
        <family val="2"/>
      </rPr>
      <t xml:space="preserve"> finance costs from earlier year debt impacts</t>
    </r>
  </si>
  <si>
    <t>Total change to debt-financing costs</t>
  </si>
  <si>
    <t>Total change to gross debt</t>
  </si>
  <si>
    <t>FISCAL FORECAST ADJUSTER</t>
  </si>
  <si>
    <t>Enter additions or subtractions in units of $ million in each year. If a revenue or expense type or allowance amount is to remain unchanged in any year, enter a zero for it in that year.</t>
  </si>
  <si>
    <t>Current forecast horizon</t>
  </si>
  <si>
    <t>Goods and services tax (GST</t>
  </si>
  <si>
    <t>Other taxes</t>
  </si>
  <si>
    <t>Total tax revenue</t>
  </si>
  <si>
    <t>New Zealand Superannuation (NZS)</t>
  </si>
  <si>
    <t>Total benefits and transfers</t>
  </si>
  <si>
    <t>Forecast new operating spending (annual increment)</t>
  </si>
  <si>
    <t>Forecast new capital spending (annual increment)</t>
  </si>
  <si>
    <t>Forecast new operating spending (total for year)</t>
  </si>
  <si>
    <t>Forecast new capital spending (total for year)</t>
  </si>
  <si>
    <t>Calculated impacts on debt and finance costs</t>
  </si>
  <si>
    <r>
      <t xml:space="preserve">Annual </t>
    </r>
    <r>
      <rPr>
        <sz val="11"/>
        <color indexed="8"/>
        <rFont val="Calibri"/>
        <family val="2"/>
      </rPr>
      <t>∆</t>
    </r>
    <r>
      <rPr>
        <sz val="11"/>
        <color indexed="8"/>
        <rFont val="Arial"/>
        <family val="2"/>
      </rPr>
      <t xml:space="preserve"> debt (includes finance cost impacts)</t>
    </r>
  </si>
  <si>
    <r>
      <t xml:space="preserve">Annual </t>
    </r>
    <r>
      <rPr>
        <sz val="11"/>
        <color indexed="8"/>
        <rFont val="Calibri"/>
        <family val="2"/>
      </rPr>
      <t>∆</t>
    </r>
    <r>
      <rPr>
        <sz val="11"/>
        <color indexed="8"/>
        <rFont val="Arial"/>
        <family val="2"/>
      </rPr>
      <t xml:space="preserve"> debt (excludes finance cost impacts)</t>
    </r>
  </si>
  <si>
    <r>
      <rPr>
        <sz val="11"/>
        <color indexed="8"/>
        <rFont val="Calibri"/>
        <family val="2"/>
      </rPr>
      <t>∆</t>
    </r>
    <r>
      <rPr>
        <sz val="11"/>
        <color indexed="8"/>
        <rFont val="Arial"/>
        <family val="2"/>
      </rPr>
      <t xml:space="preserve"> finance costs from finance cost impact on debt in year</t>
    </r>
  </si>
  <si>
    <r>
      <rPr>
        <sz val="11"/>
        <color indexed="8"/>
        <rFont val="Calibri"/>
        <family val="2"/>
      </rPr>
      <t>∆</t>
    </r>
    <r>
      <rPr>
        <sz val="11"/>
        <color indexed="8"/>
        <rFont val="Arial"/>
        <family val="2"/>
      </rPr>
      <t xml:space="preserve"> finance costs from non-finance cost impact on debt in year</t>
    </r>
  </si>
  <si>
    <r>
      <t xml:space="preserve">Adjust fiscal forecasts </t>
    </r>
    <r>
      <rPr>
        <sz val="11"/>
        <color indexed="8"/>
        <rFont val="Calibri"/>
        <family val="2"/>
      </rPr>
      <t>→</t>
    </r>
  </si>
  <si>
    <r>
      <t xml:space="preserve">Adjust NZS Fund track </t>
    </r>
    <r>
      <rPr>
        <sz val="11"/>
        <color indexed="8"/>
        <rFont val="Calibri"/>
        <family val="2"/>
      </rPr>
      <t>→</t>
    </r>
  </si>
  <si>
    <t>Tax revenue ($ millions)</t>
  </si>
  <si>
    <t>Benefits and transfers ($ millions)</t>
  </si>
  <si>
    <t>Forecast new operating and capital spending ($ millions)</t>
  </si>
  <si>
    <t>Total change to debt-financing costs ($ millions)</t>
  </si>
  <si>
    <t>Total change to gross debt ($ millions)</t>
  </si>
  <si>
    <t>MAIN FISCAL INDICATOR  ACTUAL OUTTURNS ($ billions)</t>
  </si>
  <si>
    <t>CORE CROWN EXPENSES ($ billions)</t>
  </si>
  <si>
    <t>Total Population (millions)</t>
  </si>
  <si>
    <t>National population projections: 2016 (base) - 2068</t>
  </si>
  <si>
    <t>Option</t>
  </si>
  <si>
    <t>Census 2013 basis, produced in 2016</t>
  </si>
  <si>
    <t>Net new lending (excluding fees) in current year</t>
  </si>
  <si>
    <t>New lending establishment fee</t>
  </si>
  <si>
    <t>New lending establishment fees</t>
  </si>
  <si>
    <t>These are the latest forecast round main</t>
  </si>
  <si>
    <t>FSM scenario (labelled with the forecast</t>
  </si>
  <si>
    <t>others can be copied from these and run</t>
  </si>
  <si>
    <t>off a different set of parameters from the</t>
  </si>
  <si>
    <t>demographic growth is required. Used</t>
  </si>
  <si>
    <t>used in the main modelling worksheets.</t>
  </si>
  <si>
    <t>These are the most recent New Zealand</t>
  </si>
  <si>
    <t>(NZ) resident population projections, by</t>
  </si>
  <si>
    <t>gender and single year of age. They are</t>
  </si>
  <si>
    <t>produced by Statistics NZ and are</t>
  </si>
  <si>
    <t>updated when a new version becomes</t>
  </si>
  <si>
    <t>tracks used in the model. Information is</t>
  </si>
  <si>
    <t>It provides lists of data and exogenous</t>
  </si>
  <si>
    <t>This is also an information worksheet.</t>
  </si>
  <si>
    <t>These are the most recent Labour Force</t>
  </si>
  <si>
    <t>age. They are produced by Statistics NZ</t>
  </si>
  <si>
    <t>and are updated when a new version is</t>
  </si>
  <si>
    <t>available. As well as the labour force</t>
  </si>
  <si>
    <t>numbers the worksheet has participation</t>
  </si>
  <si>
    <t>rates (numbers in labour force divided by</t>
  </si>
  <si>
    <t>numbers in demographic group). These</t>
  </si>
  <si>
    <t>rates are aligned to the population data in</t>
  </si>
  <si>
    <t>Name of worksheet</t>
  </si>
  <si>
    <r>
      <t xml:space="preserve">name) and </t>
    </r>
    <r>
      <rPr>
        <i/>
        <sz val="10"/>
        <color indexed="8"/>
        <rFont val="Arial"/>
        <family val="2"/>
      </rPr>
      <t>Option</t>
    </r>
    <r>
      <rPr>
        <sz val="10"/>
        <color indexed="8"/>
        <rFont val="Arial"/>
        <family val="2"/>
      </rPr>
      <t xml:space="preserve"> worksheets, although</t>
    </r>
  </si>
  <si>
    <r>
      <rPr>
        <i/>
        <sz val="10"/>
        <color indexed="8"/>
        <rFont val="Arial"/>
        <family val="2"/>
      </rPr>
      <t xml:space="preserve">Assumptions </t>
    </r>
    <r>
      <rPr>
        <sz val="10"/>
        <color indexed="8"/>
        <rFont val="Arial"/>
        <family val="2"/>
      </rPr>
      <t>worksheet.</t>
    </r>
  </si>
  <si>
    <t>provided about the data, distribution or</t>
  </si>
  <si>
    <t>track, including from where it is sourced</t>
  </si>
  <si>
    <t>and when it was produced.</t>
  </si>
  <si>
    <t>Population</t>
  </si>
  <si>
    <t>available. Annual growth rates for various</t>
  </si>
  <si>
    <t>age and gender groups are calculated at</t>
  </si>
  <si>
    <t>the bottom of the worksheet. These are</t>
  </si>
  <si>
    <t>welfare expenses.</t>
  </si>
  <si>
    <r>
      <t xml:space="preserve">the </t>
    </r>
    <r>
      <rPr>
        <i/>
        <sz val="10"/>
        <color indexed="8"/>
        <rFont val="Arial"/>
        <family val="2"/>
      </rPr>
      <t xml:space="preserve">Population </t>
    </r>
    <r>
      <rPr>
        <sz val="10"/>
        <color indexed="8"/>
        <rFont val="Arial"/>
        <family val="2"/>
      </rPr>
      <t>worksheet. Participation</t>
    </r>
  </si>
  <si>
    <t>rates are given by gender and single year</t>
  </si>
  <si>
    <t>of age. The totals for each gender and</t>
  </si>
  <si>
    <t>for the entire working-age (15 years and</t>
  </si>
  <si>
    <t>older) population are also provided.</t>
  </si>
  <si>
    <t>distributions. Some are produced by</t>
  </si>
  <si>
    <t>a particular asset, liability or expense</t>
  </si>
  <si>
    <t>Treasury, while others are sourced from</t>
  </si>
  <si>
    <t>type. Demographic distributions are used</t>
  </si>
  <si>
    <t>as inputs to the projected growth of</t>
  </si>
  <si>
    <t>recipient numbers in various welfare</t>
  </si>
  <si>
    <t>the model i.e. are exogenous inputs.</t>
  </si>
  <si>
    <t>expenses and Student Allowances.</t>
  </si>
  <si>
    <t>NZS Fund Adjuster</t>
  </si>
  <si>
    <t>This worksheet contains alternative</t>
  </si>
  <si>
    <t>projections of the New Zealand</t>
  </si>
  <si>
    <r>
      <t xml:space="preserve">is a label </t>
    </r>
    <r>
      <rPr>
        <i/>
        <sz val="10"/>
        <color indexed="8"/>
        <rFont val="Arial"/>
        <family val="2"/>
      </rPr>
      <t>Adjust NZS Fund track</t>
    </r>
    <r>
      <rPr>
        <sz val="10"/>
        <color indexed="8"/>
        <rFont val="Arial"/>
        <family val="2"/>
      </rPr>
      <t>. If the</t>
    </r>
  </si>
  <si>
    <t>Superannuation Fund (NZS Fund).</t>
  </si>
  <si>
    <r>
      <t xml:space="preserve">Fiscal Forecasts </t>
    </r>
    <r>
      <rPr>
        <sz val="10"/>
        <color indexed="8"/>
        <rFont val="Arial"/>
        <family val="2"/>
      </rPr>
      <t>worksheet to calculate</t>
    </r>
  </si>
  <si>
    <t>These can be produced by altering inputs</t>
  </si>
  <si>
    <t>label it activates the modelling in this</t>
  </si>
  <si>
    <t>the effective interest rate applied to debt</t>
  </si>
  <si>
    <t>or parameter choices in the</t>
  </si>
  <si>
    <t>worksheet to replace the NZS Fund track</t>
  </si>
  <si>
    <t>in each forecast year. These are applied</t>
  </si>
  <si>
    <r>
      <t xml:space="preserve">in </t>
    </r>
    <r>
      <rPr>
        <i/>
        <sz val="10"/>
        <color indexed="8"/>
        <rFont val="Arial"/>
        <family val="2"/>
      </rPr>
      <t xml:space="preserve">Exogenous </t>
    </r>
    <r>
      <rPr>
        <sz val="10"/>
        <color indexed="8"/>
        <rFont val="Arial"/>
        <family val="2"/>
      </rPr>
      <t>with the alternative one</t>
    </r>
  </si>
  <si>
    <t>to the calculated gross debt changes to</t>
  </si>
  <si>
    <t>website. From that model an alternative</t>
  </si>
  <si>
    <r>
      <t xml:space="preserve">chosen in </t>
    </r>
    <r>
      <rPr>
        <i/>
        <sz val="10"/>
        <color indexed="8"/>
        <rFont val="Arial"/>
        <family val="2"/>
      </rPr>
      <t>NZS Fund Adjuster</t>
    </r>
    <r>
      <rPr>
        <sz val="10"/>
        <color indexed="8"/>
        <rFont val="Arial"/>
        <family val="2"/>
      </rPr>
      <t>. It also</t>
    </r>
  </si>
  <si>
    <t>calculate debt financing costs changes.</t>
  </si>
  <si>
    <t>NZS Fund track can then be pasted</t>
  </si>
  <si>
    <t>adjust any variables in the forecast base</t>
  </si>
  <si>
    <t>More generally, and as described in the</t>
  </si>
  <si>
    <t>into this worksheet.</t>
  </si>
  <si>
    <t>that would be affected by changes to the</t>
  </si>
  <si>
    <r>
      <rPr>
        <i/>
        <sz val="10"/>
        <color indexed="8"/>
        <rFont val="Arial"/>
        <family val="2"/>
      </rPr>
      <t xml:space="preserve">Purpose </t>
    </r>
    <r>
      <rPr>
        <sz val="10"/>
        <color indexed="8"/>
        <rFont val="Arial"/>
        <family val="2"/>
      </rPr>
      <t>column, this worksheet uses</t>
    </r>
  </si>
  <si>
    <t>NZS Fund track in forecast years.</t>
  </si>
  <si>
    <t>outputs from another Treasury model.</t>
  </si>
  <si>
    <t>Note that, if the selected track number in</t>
  </si>
  <si>
    <r>
      <t xml:space="preserve">the </t>
    </r>
    <r>
      <rPr>
        <i/>
        <sz val="10"/>
        <color indexed="8"/>
        <rFont val="Arial"/>
        <family val="2"/>
      </rPr>
      <t xml:space="preserve">NZS Fund Adjuster </t>
    </r>
    <r>
      <rPr>
        <sz val="10"/>
        <color indexed="8"/>
        <rFont val="Arial"/>
        <family val="2"/>
      </rPr>
      <t>worksheet does</t>
    </r>
  </si>
  <si>
    <t>not match one of the alternative NZS</t>
  </si>
  <si>
    <t>Fund tracks in the worksheet, the</t>
  </si>
  <si>
    <t xml:space="preserve">selection defaults to the parameters of </t>
  </si>
  <si>
    <r>
      <t xml:space="preserve">the NZS Fund track in </t>
    </r>
    <r>
      <rPr>
        <i/>
        <sz val="10"/>
        <color indexed="8"/>
        <rFont val="Arial"/>
        <family val="2"/>
      </rPr>
      <t>Exogenous</t>
    </r>
    <r>
      <rPr>
        <sz val="10"/>
        <color indexed="8"/>
        <rFont val="Arial"/>
        <family val="2"/>
      </rPr>
      <t>.</t>
    </r>
  </si>
  <si>
    <t>Fiscal Forecast Adjuster</t>
  </si>
  <si>
    <t>This worksheet allows changes to be</t>
  </si>
  <si>
    <t>made to forecast year values of major tax</t>
  </si>
  <si>
    <r>
      <t xml:space="preserve">is a label </t>
    </r>
    <r>
      <rPr>
        <i/>
        <sz val="10"/>
        <color indexed="8"/>
        <rFont val="Arial"/>
        <family val="2"/>
      </rPr>
      <t>Adjust fiscal forecasts</t>
    </r>
    <r>
      <rPr>
        <sz val="10"/>
        <color indexed="8"/>
        <rFont val="Arial"/>
        <family val="2"/>
      </rPr>
      <t>. If the</t>
    </r>
  </si>
  <si>
    <t>types, several welfare expense classes,</t>
  </si>
  <si>
    <t>and allowances for both new operating</t>
  </si>
  <si>
    <t>and new capital spending. It calculates</t>
  </si>
  <si>
    <t>worksheet to add the various adjustments</t>
  </si>
  <si>
    <t>how these changes impact on gross</t>
  </si>
  <si>
    <t>debt and debt financing costs in those</t>
  </si>
  <si>
    <t>the appropriate fiscal variables in forecast</t>
  </si>
  <si>
    <t>forecast years. This spreadsheet is the</t>
  </si>
  <si>
    <t>years. It also adjusts forecast debt and</t>
  </si>
  <si>
    <t>means of correctly altering the fiscal</t>
  </si>
  <si>
    <t>debt financing costs by the amounts</t>
  </si>
  <si>
    <r>
      <t xml:space="preserve">forecast base </t>
    </r>
    <r>
      <rPr>
        <sz val="10"/>
        <color indexed="8"/>
        <rFont val="Arial"/>
        <family val="2"/>
      </rPr>
      <t>for the forecast years.</t>
    </r>
  </si>
  <si>
    <r>
      <rPr>
        <sz val="10"/>
        <color indexed="8"/>
        <rFont val="Arial"/>
        <family val="2"/>
      </rPr>
      <t xml:space="preserve">calculated in </t>
    </r>
    <r>
      <rPr>
        <i/>
        <sz val="10"/>
        <color indexed="8"/>
        <rFont val="Arial"/>
        <family val="2"/>
      </rPr>
      <t xml:space="preserve">Fiscal Forecast Adjuster </t>
    </r>
    <r>
      <rPr>
        <sz val="10"/>
        <color indexed="8"/>
        <rFont val="Arial"/>
        <family val="2"/>
      </rPr>
      <t>to</t>
    </r>
  </si>
  <si>
    <t>reflect the combined impact of all</t>
  </si>
  <si>
    <t>the changes on these fiscal variables.</t>
  </si>
  <si>
    <t>Fiscal Outturns</t>
  </si>
  <si>
    <t>This worksheet contains historical data</t>
  </si>
  <si>
    <t>relating to the main fiscal indicators that</t>
  </si>
  <si>
    <t>can be selected in the pull-down box at</t>
  </si>
  <si>
    <t>the top of the main modelling worksheets.</t>
  </si>
  <si>
    <t>There is more explanation at the top of</t>
  </si>
  <si>
    <t>this worksheet about why data prior to</t>
  </si>
  <si>
    <t>2014/15 is given here and not in the main</t>
  </si>
  <si>
    <t>modelling worksheets themselves.</t>
  </si>
  <si>
    <t>Economic Forecasts</t>
  </si>
  <si>
    <t>The latest set of economic forecast</t>
  </si>
  <si>
    <t>variables, as well as historical outturns</t>
  </si>
  <si>
    <t>of these variables, are stored in this</t>
  </si>
  <si>
    <t>worksheet. It also contains some</t>
  </si>
  <si>
    <t>parameters, derived from the economic</t>
  </si>
  <si>
    <t>forecasts by another Treasury model, that</t>
  </si>
  <si>
    <t>are used to project NZ Superannuation.</t>
  </si>
  <si>
    <t>At the bottom of this worksheet are</t>
  </si>
  <si>
    <t>parameters related to the NZ personal</t>
  </si>
  <si>
    <t>tax regime that are used in fiscal drag</t>
  </si>
  <si>
    <t>modelling for both tax and NZS.</t>
  </si>
  <si>
    <t>Fiscal Forecasts</t>
  </si>
  <si>
    <r>
      <t>The fiscal equivalent of the</t>
    </r>
    <r>
      <rPr>
        <i/>
        <sz val="10"/>
        <color indexed="8"/>
        <rFont val="Arial"/>
        <family val="2"/>
      </rPr>
      <t xml:space="preserve"> Economic </t>
    </r>
  </si>
  <si>
    <r>
      <rPr>
        <i/>
        <sz val="10"/>
        <color indexed="8"/>
        <rFont val="Arial"/>
        <family val="2"/>
      </rPr>
      <t xml:space="preserve">Forecasts </t>
    </r>
    <r>
      <rPr>
        <sz val="10"/>
        <color indexed="8"/>
        <rFont val="Arial"/>
        <family val="2"/>
      </rPr>
      <t>worksheet, this contains the</t>
    </r>
  </si>
  <si>
    <t>most recent set of fiscal forecast</t>
  </si>
  <si>
    <t>variables. For reasons explained in the</t>
  </si>
  <si>
    <r>
      <rPr>
        <i/>
        <sz val="10"/>
        <color indexed="8"/>
        <rFont val="Arial"/>
        <family val="2"/>
      </rPr>
      <t xml:space="preserve">Fiscal Outturns </t>
    </r>
    <r>
      <rPr>
        <sz val="10"/>
        <color indexed="8"/>
        <rFont val="Arial"/>
        <family val="2"/>
      </rPr>
      <t>worksheet, there are only</t>
    </r>
  </si>
  <si>
    <t>historical outturns dating from 2014/15</t>
  </si>
  <si>
    <t>numerous check calculations to ensure</t>
  </si>
  <si>
    <t>The easiest way to produce a whole</t>
  </si>
  <si>
    <t>the model user in this worksheet.</t>
  </si>
  <si>
    <t>Most selections relate to projection</t>
  </si>
  <si>
    <t>assumptions or parameters, but there are</t>
  </si>
  <si>
    <t>clicking the worksheet tab, ensuring to</t>
  </si>
  <si>
    <t>some that affect the forecast base.</t>
  </si>
  <si>
    <r>
      <t xml:space="preserve">tick the </t>
    </r>
    <r>
      <rPr>
        <i/>
        <sz val="10"/>
        <color indexed="8"/>
        <rFont val="Arial"/>
        <family val="2"/>
      </rPr>
      <t xml:space="preserve">Create a Copy </t>
    </r>
    <r>
      <rPr>
        <sz val="10"/>
        <color indexed="8"/>
        <rFont val="Arial"/>
        <family val="2"/>
      </rPr>
      <t>box (otherwise the</t>
    </r>
  </si>
  <si>
    <t>worksheet will just be moved). Change</t>
  </si>
  <si>
    <t>and parameters used in the main</t>
  </si>
  <si>
    <t>the name of the new worksheet tab.</t>
  </si>
  <si>
    <t>modelling worksheet scenarios.</t>
  </si>
  <si>
    <t>As most options will not be altered in</t>
  </si>
  <si>
    <t>worksheet, enter the name used at the</t>
  </si>
  <si>
    <t>setting up a scenario, the easiest way to</t>
  </si>
  <si>
    <r>
      <t xml:space="preserve">top of the column set up in </t>
    </r>
    <r>
      <rPr>
        <i/>
        <sz val="10"/>
        <color indexed="8"/>
        <rFont val="Arial"/>
        <family val="2"/>
      </rPr>
      <t>Assumptions</t>
    </r>
  </si>
  <si>
    <t>produce a new scenario is to copy one of</t>
  </si>
  <si>
    <t>with the chosen set of assumptions and</t>
  </si>
  <si>
    <t>these columns and paste it into a new</t>
  </si>
  <si>
    <r>
      <t>parameters</t>
    </r>
    <r>
      <rPr>
        <sz val="10"/>
        <color indexed="8"/>
        <rFont val="Arial"/>
        <family val="2"/>
      </rPr>
      <t>. In numerous places in this</t>
    </r>
  </si>
  <si>
    <t>column in this worksheet, changing its</t>
  </si>
  <si>
    <t>new modelling worksheet these</t>
  </si>
  <si>
    <t>name at the top of the column in the row</t>
  </si>
  <si>
    <t>assumptions and parameters will be used</t>
  </si>
  <si>
    <r>
      <rPr>
        <sz val="10"/>
        <color indexed="8"/>
        <rFont val="Arial"/>
        <family val="2"/>
      </rPr>
      <t xml:space="preserve">labelled </t>
    </r>
    <r>
      <rPr>
        <i/>
        <sz val="10"/>
        <color indexed="8"/>
        <rFont val="Arial"/>
        <family val="2"/>
      </rPr>
      <t>SCENARIO NAME</t>
    </r>
    <r>
      <rPr>
        <sz val="10"/>
        <color indexed="8"/>
        <rFont val="Arial"/>
        <family val="2"/>
      </rPr>
      <t>.</t>
    </r>
  </si>
  <si>
    <t>to produce the new scenario required.</t>
  </si>
  <si>
    <t>The main modelling</t>
  </si>
  <si>
    <t>These worksheets provide the</t>
  </si>
  <si>
    <t>worksheets.</t>
  </si>
  <si>
    <t>fundamental outputs of the FSM, such as</t>
  </si>
  <si>
    <t>The standards are</t>
  </si>
  <si>
    <t>projections of net core Crown debt as a</t>
  </si>
  <si>
    <t>the one labelled with</t>
  </si>
  <si>
    <t>percentage of nominal GDP for a given</t>
  </si>
  <si>
    <t>the latest forecast</t>
  </si>
  <si>
    <t>set of assumptions and parameters.</t>
  </si>
  <si>
    <r>
      <rPr>
        <i/>
        <sz val="10"/>
        <color indexed="8"/>
        <rFont val="Arial"/>
        <family val="2"/>
      </rPr>
      <t xml:space="preserve">NZS Fund Adjuster </t>
    </r>
    <r>
      <rPr>
        <sz val="10"/>
        <color indexed="8"/>
        <rFont val="Arial"/>
        <family val="2"/>
      </rPr>
      <t>(potentially)</t>
    </r>
  </si>
  <si>
    <t>round name and the</t>
  </si>
  <si>
    <r>
      <rPr>
        <i/>
        <sz val="10"/>
        <color indexed="8"/>
        <rFont val="Arial"/>
        <family val="2"/>
      </rPr>
      <t xml:space="preserve">Fiscal Forecast Adjuster </t>
    </r>
    <r>
      <rPr>
        <sz val="10"/>
        <color indexed="8"/>
        <rFont val="Arial"/>
        <family val="2"/>
      </rPr>
      <t>(potentially)</t>
    </r>
  </si>
  <si>
    <t>As explained in the</t>
  </si>
  <si>
    <t>description a user</t>
  </si>
  <si>
    <t>can create a new</t>
  </si>
  <si>
    <t>modelling worksheet</t>
  </si>
  <si>
    <r>
      <rPr>
        <i/>
        <sz val="10"/>
        <color indexed="8"/>
        <rFont val="Arial"/>
        <family val="2"/>
      </rPr>
      <t>Option</t>
    </r>
    <r>
      <rPr>
        <sz val="10"/>
        <color indexed="8"/>
        <rFont val="Arial"/>
        <family val="2"/>
      </rPr>
      <t xml:space="preserve"> worksheet</t>
    </r>
  </si>
  <si>
    <r>
      <t xml:space="preserve">The </t>
    </r>
    <r>
      <rPr>
        <i/>
        <sz val="10"/>
        <color indexed="8"/>
        <rFont val="Arial"/>
        <family val="2"/>
      </rPr>
      <t>Option</t>
    </r>
    <r>
      <rPr>
        <sz val="10"/>
        <color indexed="8"/>
        <rFont val="Arial"/>
        <family val="2"/>
      </rPr>
      <t xml:space="preserve"> worksheet. In cell B3 there</t>
    </r>
  </si>
  <si>
    <r>
      <t xml:space="preserve">The </t>
    </r>
    <r>
      <rPr>
        <i/>
        <sz val="10"/>
        <color indexed="8"/>
        <rFont val="Arial"/>
        <family val="2"/>
      </rPr>
      <t>Option</t>
    </r>
    <r>
      <rPr>
        <sz val="10"/>
        <color indexed="8"/>
        <rFont val="Arial"/>
        <family val="2"/>
      </rPr>
      <t xml:space="preserve"> worksheet. In cell B2 there</t>
    </r>
  </si>
  <si>
    <t>word Yes is entered in cell C3 beside this</t>
  </si>
  <si>
    <t>word Yes is entered in cell C2 beside this</t>
  </si>
  <si>
    <t>Unless otherwise stated, forecasts and projections are produced by the New Zealand Treasury</t>
  </si>
  <si>
    <t>Unless otherwise stated, all post-forecast projections are produced by the FSM model</t>
  </si>
  <si>
    <t>Economic Data</t>
  </si>
  <si>
    <t>Mainly Statistics New Zealand (NZ) measures</t>
  </si>
  <si>
    <t>Fiscal Data</t>
  </si>
  <si>
    <t>Demographic Data</t>
  </si>
  <si>
    <t>Historic data from Statistics NZ</t>
  </si>
  <si>
    <t>Source at</t>
  </si>
  <si>
    <t>Treasury forecasts aggregate population</t>
  </si>
  <si>
    <t>Projections from Statistics NZ</t>
  </si>
  <si>
    <t>Treasury forecasts aggregate labour force</t>
  </si>
  <si>
    <t>Development (MSD) and Inland Revenue</t>
  </si>
  <si>
    <t>Department (IRD) for Working for Families</t>
  </si>
  <si>
    <t>Forecasts from NZS Fund</t>
  </si>
  <si>
    <t>Accident Compen-</t>
  </si>
  <si>
    <t>sation Corporation</t>
  </si>
  <si>
    <t>Forecasts from ACC</t>
  </si>
  <si>
    <t>(ACC) data</t>
  </si>
  <si>
    <t>track</t>
  </si>
  <si>
    <t>Forecasts from Ministry of Education</t>
  </si>
  <si>
    <t>Projection from Ministry of Education</t>
  </si>
  <si>
    <t>Forecasts from IRD</t>
  </si>
  <si>
    <t>Forecasts based on actuarial valuations</t>
  </si>
  <si>
    <t>Main benefit age &amp;</t>
  </si>
  <si>
    <t>Based on recent administrative data and</t>
  </si>
  <si>
    <t>gender distribution</t>
  </si>
  <si>
    <t>provided by MSD</t>
  </si>
  <si>
    <t>Tertiary student age</t>
  </si>
  <si>
    <t>Based on averages of historical date from</t>
  </si>
  <si>
    <t>&amp; gender distribution</t>
  </si>
  <si>
    <t>Education Counts</t>
  </si>
  <si>
    <t>website</t>
  </si>
  <si>
    <t>Projected labour force of New Zealand by age and sex for years ending 30 June</t>
  </si>
  <si>
    <t>Labour Force (LF) projections sourced from Statistics New Zealand</t>
  </si>
  <si>
    <t>NZ.Stat: Population projections - National labour force projections by age and sex</t>
  </si>
  <si>
    <t>Year (1 July to following 30 June)</t>
  </si>
  <si>
    <t>16/17</t>
  </si>
  <si>
    <t>17/18</t>
  </si>
  <si>
    <t>18/19</t>
  </si>
  <si>
    <t>19/20</t>
  </si>
  <si>
    <t>20/21</t>
  </si>
  <si>
    <t>21/22</t>
  </si>
  <si>
    <t>22/23</t>
  </si>
  <si>
    <t>23/24</t>
  </si>
  <si>
    <t>24/25</t>
  </si>
  <si>
    <t>25/26</t>
  </si>
  <si>
    <t>26/27</t>
  </si>
  <si>
    <t>27/28</t>
  </si>
  <si>
    <t>28/29</t>
  </si>
  <si>
    <t>29/30</t>
  </si>
  <si>
    <t>30/31</t>
  </si>
  <si>
    <t>31/32</t>
  </si>
  <si>
    <t>32/33</t>
  </si>
  <si>
    <t>33/34</t>
  </si>
  <si>
    <t>34/35</t>
  </si>
  <si>
    <t>35/36</t>
  </si>
  <si>
    <t>36/37</t>
  </si>
  <si>
    <t>37/38</t>
  </si>
  <si>
    <t>38/39</t>
  </si>
  <si>
    <t>39/40</t>
  </si>
  <si>
    <t>40/41</t>
  </si>
  <si>
    <t>41/42</t>
  </si>
  <si>
    <t>42/43</t>
  </si>
  <si>
    <t>43/44</t>
  </si>
  <si>
    <t>44/45</t>
  </si>
  <si>
    <t>45/46</t>
  </si>
  <si>
    <t>46/47</t>
  </si>
  <si>
    <t>47/48</t>
  </si>
  <si>
    <t>48/49</t>
  </si>
  <si>
    <t>49/50</t>
  </si>
  <si>
    <t>50/51</t>
  </si>
  <si>
    <t>51/52</t>
  </si>
  <si>
    <t>52/53</t>
  </si>
  <si>
    <t>53/54</t>
  </si>
  <si>
    <t>54/55</t>
  </si>
  <si>
    <t>55/56</t>
  </si>
  <si>
    <t>56/57</t>
  </si>
  <si>
    <t>57/58</t>
  </si>
  <si>
    <t>58/59</t>
  </si>
  <si>
    <t>59/60</t>
  </si>
  <si>
    <t>60/61</t>
  </si>
  <si>
    <t>61/62</t>
  </si>
  <si>
    <t>62/63</t>
  </si>
  <si>
    <t>63/64</t>
  </si>
  <si>
    <t>64/65</t>
  </si>
  <si>
    <t>65/66</t>
  </si>
  <si>
    <t>66/67</t>
  </si>
  <si>
    <t>67/68</t>
  </si>
  <si>
    <t>annual growth rate (%)</t>
  </si>
  <si>
    <t>Aggregate labour force participation rate %</t>
  </si>
  <si>
    <t>Female LF Numbers</t>
  </si>
  <si>
    <t>AGE (years)</t>
  </si>
  <si>
    <t>80 &amp; above</t>
  </si>
  <si>
    <t>TOTAL FEMALE</t>
  </si>
  <si>
    <t>Male LF Numbers</t>
  </si>
  <si>
    <t>TOTAL MALE</t>
  </si>
  <si>
    <t>Labour Force Participation Rates (LFPR)</t>
  </si>
  <si>
    <t>Female LFPR</t>
  </si>
  <si>
    <t>Male LFPR</t>
  </si>
  <si>
    <r>
      <t xml:space="preserve">Age in years </t>
    </r>
    <r>
      <rPr>
        <b/>
        <sz val="10"/>
        <color indexed="8"/>
        <rFont val="Calibri"/>
        <family val="2"/>
      </rPr>
      <t>↓</t>
    </r>
  </si>
  <si>
    <r>
      <t xml:space="preserve">less </t>
    </r>
    <r>
      <rPr>
        <sz val="10"/>
        <color indexed="8"/>
        <rFont val="Arial"/>
        <family val="2"/>
      </rPr>
      <t>Tax on earnings</t>
    </r>
  </si>
  <si>
    <r>
      <t xml:space="preserve">less </t>
    </r>
    <r>
      <rPr>
        <sz val="10"/>
        <color indexed="8"/>
        <rFont val="Arial"/>
        <family val="2"/>
      </rPr>
      <t>Initial write-down to fair value</t>
    </r>
  </si>
  <si>
    <r>
      <t xml:space="preserve">less </t>
    </r>
    <r>
      <rPr>
        <sz val="10"/>
        <color indexed="8"/>
        <rFont val="Arial"/>
        <family val="2"/>
      </rPr>
      <t>Repayments made during the year</t>
    </r>
  </si>
  <si>
    <r>
      <t xml:space="preserve">less </t>
    </r>
    <r>
      <rPr>
        <sz val="10"/>
        <color indexed="8"/>
        <rFont val="Arial"/>
        <family val="2"/>
      </rPr>
      <t>Impairment</t>
    </r>
  </si>
  <si>
    <t>This worksheet. It provides some</t>
  </si>
  <si>
    <t>Taxable income over $0 and up to $22,000 per year</t>
  </si>
  <si>
    <t>Taxable income over $22,000 and up to $52,000 per year</t>
  </si>
  <si>
    <t>Taxable income over $52,000 and up to $70,000 per year</t>
  </si>
  <si>
    <t>much input data, this worksheet uses</t>
  </si>
  <si>
    <t>calculated over forecast years and the number of forecast years is chosen here. The averaging period moves backward from the</t>
  </si>
  <si>
    <r>
      <rPr>
        <sz val="10"/>
        <color indexed="8"/>
        <rFont val="Arial"/>
        <family val="2"/>
      </rPr>
      <t xml:space="preserve">written into </t>
    </r>
    <r>
      <rPr>
        <i/>
        <sz val="10"/>
        <color indexed="8"/>
        <rFont val="Arial"/>
        <family val="2"/>
      </rPr>
      <t xml:space="preserve">Fiscal Forecast Adjuster </t>
    </r>
    <r>
      <rPr>
        <sz val="10"/>
        <color indexed="8"/>
        <rFont val="Arial"/>
        <family val="2"/>
      </rPr>
      <t>to</t>
    </r>
  </si>
  <si>
    <t xml:space="preserve">Labour Force (millions) (aggregate) </t>
  </si>
  <si>
    <t>Working-Age Population (millions) (aged 15 years &amp; over)</t>
  </si>
  <si>
    <t>Core Crown expenses (includes Forecast new operating spend &amp; Top-down adjustment)</t>
  </si>
  <si>
    <t>Cash disbursed to ops (includes Forecast new operating spend &amp; Top-down adjustment)</t>
  </si>
  <si>
    <t>Total Crown expenses (includes Forecast new operating spend &amp; Top-down adjustment)</t>
  </si>
  <si>
    <t>Total other non-cash items (includes Depreciation &amp; amortisation)</t>
  </si>
  <si>
    <t>CHECK: Net Debt excluding NZSF &amp; advances =GSID -CCFA +advs +NZSF FA</t>
  </si>
  <si>
    <t>CHECK: CC exps =SA&amp;ODA +Persnl +Other op +Int +Insur +Fcst new op spend &amp;T-d adj</t>
  </si>
  <si>
    <t>CHECK: CC assets =Cash+Rec+MSD+SI+Adv+PPE+EAI+IG+IO+Fcst new cap sp &amp;T-d adj</t>
  </si>
  <si>
    <t>CE other non-finance expenses (excluding welfare, health, education &amp; transport)</t>
  </si>
  <si>
    <t>SOE other non-finance expenses (excluding welfare, health, education &amp; transport)</t>
  </si>
  <si>
    <t>CHECK: Oper bal (excl Min ints) in Statement of Financial Performance=Sum of segments</t>
  </si>
  <si>
    <r>
      <t xml:space="preserve">Labour Force growth (targets projected growth in </t>
    </r>
    <r>
      <rPr>
        <i/>
        <sz val="11"/>
        <color indexed="8"/>
        <rFont val="Arial"/>
        <family val="2"/>
      </rPr>
      <t>Labour Force</t>
    </r>
    <r>
      <rPr>
        <sz val="11"/>
        <color indexed="8"/>
        <rFont val="Arial"/>
        <family val="2"/>
      </rPr>
      <t>) (percentage points per year)</t>
    </r>
  </si>
  <si>
    <r>
      <t xml:space="preserve">CHECK: Net core Crown debt (ex NZS Fund &amp;advs) in </t>
    </r>
    <r>
      <rPr>
        <b/>
        <i/>
        <sz val="11"/>
        <rFont val="Arial"/>
        <family val="2"/>
      </rPr>
      <t>Fiscal Forecasts</t>
    </r>
    <r>
      <rPr>
        <b/>
        <sz val="11"/>
        <rFont val="Arial"/>
        <family val="2"/>
      </rPr>
      <t xml:space="preserve"> = Calc value</t>
    </r>
  </si>
  <si>
    <t>Crown entities (projected as ratio of all category exps except Econ &amp; ind services)</t>
  </si>
  <si>
    <t>Less Core Crown non-debt liabilities</t>
  </si>
  <si>
    <t>are used mainly to divide up the NZS Fund's forecast and projected closing balance among various asset and liability classes</t>
  </si>
  <si>
    <t>Percentage of NZS Fund closing balance held as cash or cash equivalents</t>
  </si>
  <si>
    <t>Percentage of NZS Fund closing balance held as marketable securities and derivatives</t>
  </si>
  <si>
    <t>Percentage of NZS Fund closing balance held as share investments</t>
  </si>
  <si>
    <t>Percentage of NZS Fund closing balance held as advances</t>
  </si>
  <si>
    <t>Percentage of NZS Fund closing balance held as property, plant &amp; equipment</t>
  </si>
  <si>
    <t>Percentage of NZS Fund closing balance held as equity accounted investments</t>
  </si>
  <si>
    <t>Percentage of previous year's NZS Fund marketable securities held as derivatives in loss</t>
  </si>
  <si>
    <t>The following percentages are related to the New Zealand Superannuation (NZS) Fund. They are based on historical data and</t>
  </si>
  <si>
    <t>Less Dividends paid to/(received from) minority interests</t>
  </si>
  <si>
    <t>NZS Fund non-tax expenses</t>
  </si>
  <si>
    <t>The working-age benefits and student allowances are normally projected using recipient number growth and inflation indexation of payments.</t>
  </si>
  <si>
    <t>Fiscal drag modelling can be applied to source deductions tax revenue. If this selected, then source deductions will not stabilise at the</t>
  </si>
  <si>
    <t>stable percentage of GDP shown below. If fiscal drag is chosen, this is applied in modelling indexation of NZS payments too.</t>
  </si>
  <si>
    <t>This growth logic can be replaced by having these benefits move to and then stabilise at a chosen % of GDP.</t>
  </si>
  <si>
    <t>Aged 60 years and over</t>
  </si>
  <si>
    <t>Transition rate from end-of-forecast to stable pctg for non-NZS welfare (pctg pts per year)</t>
  </si>
  <si>
    <t>The Working for Families tax credits and supplementary benefits are normally projected using working-age population growth and inflation</t>
  </si>
  <si>
    <t>indexation of payments. This growth logic can be replaced by having these benefits move to and then stabilise at a chosen % of GDP.</t>
  </si>
  <si>
    <t>Parameters to align operational and functional expense classes</t>
  </si>
  <si>
    <t>Core Crown expenses that derive growth from a share of the Operating allowances</t>
  </si>
  <si>
    <t>Core Crown insurance expenses</t>
  </si>
  <si>
    <t>NZS Fund gains/(losses)</t>
  </si>
  <si>
    <t>Other core Crown gains/(losses)</t>
  </si>
  <si>
    <t>Core Crown gains and losses</t>
  </si>
  <si>
    <t>NZS Fund assets &amp; liabilities with those of the rest of the core Crown</t>
  </si>
  <si>
    <t>New Zealand Superannuation (NZS) Fund parameters to model interaction of</t>
  </si>
  <si>
    <t>Less Core Crown depreciation</t>
  </si>
  <si>
    <t>Less Total depreciation</t>
  </si>
  <si>
    <t>Core Crown net additions excl NZS Fund less disposals plus net revaltns plus other addtns</t>
  </si>
  <si>
    <t>Operating Balance</t>
  </si>
  <si>
    <t>or stable % of a related asset or liability for growing some non-cash assets &amp; liabilities</t>
  </si>
  <si>
    <t>Enter Yes to select a track of annual Operating Allowance increments that stabilises net debt</t>
  </si>
  <si>
    <t xml:space="preserve">Enter Yes to select fiscal drag modelling for source deductions revenue </t>
  </si>
  <si>
    <t>Enter Yes to use stable % of nominal GDP for main-working age benefits and student allowances</t>
  </si>
  <si>
    <t>Enter Yes to use stable % of nominal GDP for Working for Families  and supplementary benefits</t>
  </si>
  <si>
    <t>Lower bound for gross sovereign-issued debt as a percentage of nominal GDP</t>
  </si>
  <si>
    <t>CALCULATIONS TO SPLIT DEBT REDUCTION AND FINANCIAL ASSET BUILD UP</t>
  </si>
  <si>
    <t>Core Crown borrowings with no minimum restriction</t>
  </si>
  <si>
    <t>Core Crown interest payments with no minimum restriction on debt</t>
  </si>
  <si>
    <t>Total Crown borrowings with no minimum restriction</t>
  </si>
  <si>
    <t>Total Crown interest payments with no minimum restriction on debt</t>
  </si>
  <si>
    <t>Projection to 2031/32 from IRD</t>
  </si>
  <si>
    <t>ACTUAL FISCAL OUTTURNS FROM 2004/05 UNTIL 2016/17</t>
  </si>
  <si>
    <t>Emission Trading Scheme (ETS) revenue</t>
  </si>
  <si>
    <t>Interest revenue</t>
  </si>
  <si>
    <t>Depreciation</t>
  </si>
  <si>
    <t>Less Minority share of operating balance before gains/losses</t>
  </si>
  <si>
    <t>Total gains/(losses) (excluding minority interests)</t>
  </si>
  <si>
    <t>Interest receipts</t>
  </si>
  <si>
    <t>Amortisation</t>
  </si>
  <si>
    <t>CHECK: Interest revenue in Statement of Financial Performance =Sum of segments</t>
  </si>
  <si>
    <t>Dividend revenue (Total Crown)</t>
  </si>
  <si>
    <t>CHECK: Total Crown Dividend revenue from Note =Sum of segments</t>
  </si>
  <si>
    <t>SOE insurance expenses (includes any inter-segment eliminations)</t>
  </si>
  <si>
    <t>CHECK: Depreciation in Statement of Financial Performance =Sum of segments</t>
  </si>
  <si>
    <t>Other Operating expenses (excludes Depreciation)</t>
  </si>
  <si>
    <t>Emission Trading Scheme (ETS) revenue and expenses from Provisions note</t>
  </si>
  <si>
    <t>ETS revenue</t>
  </si>
  <si>
    <t>ETS expenses</t>
  </si>
  <si>
    <t>Less Finance costs</t>
  </si>
  <si>
    <t>Other core Crown other sovereign revenue</t>
  </si>
  <si>
    <t>Emission Trading Scheme (ETS) expenses</t>
  </si>
  <si>
    <t>Other core Crown environmental protection expenses</t>
  </si>
  <si>
    <t>Less Amortisation</t>
  </si>
  <si>
    <t>Percentage of NZS Fund revenue received as interest</t>
  </si>
  <si>
    <t>Percentage of NZS Fund revenue received as dividends (non-interest/dividend received as other)</t>
  </si>
  <si>
    <t>Percentage of core Crown cash and advances that generate interest (rest generates dividends)</t>
  </si>
  <si>
    <t>Dividend revenue</t>
  </si>
  <si>
    <t>New Zealand Superannuation (NZS) Fund interest revenue</t>
  </si>
  <si>
    <t>Other core Crown interest revenue</t>
  </si>
  <si>
    <t>Core Crown interest revenue</t>
  </si>
  <si>
    <t>Total interest revenue</t>
  </si>
  <si>
    <t>New Zealand Superannuation (NZS) Fund dividend revenue</t>
  </si>
  <si>
    <t>Other core Crown dividend revenue</t>
  </si>
  <si>
    <t>Core Crown dividend revenue</t>
  </si>
  <si>
    <t>Inter-segment elimination (includes any historical or forecast SOE dividends)</t>
  </si>
  <si>
    <t>Total dividend revenue</t>
  </si>
  <si>
    <t>New Zealand Superannuation (NZS) Fund non-interest, non-dividend revenue</t>
  </si>
  <si>
    <t>Other core Crown non-interest, non-dividend revenue</t>
  </si>
  <si>
    <t>Total depreciation expenses</t>
  </si>
  <si>
    <t>Amortisation &amp; impairment of intangible assets (incl. in Other Operating expenses)</t>
  </si>
  <si>
    <t xml:space="preserve">Total Crown amortisation &amp; impairment of intangible assets expenses </t>
  </si>
  <si>
    <t>Less Depreciation</t>
  </si>
  <si>
    <t>Less Cost of concessionary lending</t>
  </si>
  <si>
    <t>Less Impairment on financial assets (excluding receivables)</t>
  </si>
  <si>
    <t>State-owned enterprises (SOE's) (includes any historical or forecast inter-segment elims)</t>
  </si>
  <si>
    <t>CHECK: Res. cash = Neg. of ann. chg. in core Crown net debt &amp; currency issued</t>
  </si>
  <si>
    <t>The first projected year value and the ensuing annual growth rate for the annual increments to both operating and capital allowances are set here.</t>
  </si>
  <si>
    <t>Operating allowances control most non-welfare, non-interest core Crown expenses' growth. Capital allowances control core Crown PP&amp;E asset growth.</t>
  </si>
  <si>
    <t>Adjusted national labour force projections: 2017(base)-2068, 50 percentile (median) projection</t>
  </si>
  <si>
    <t>Average weekly hours worked (hours per week per year)</t>
  </si>
  <si>
    <t>Average weekly hours worked (hours per week)</t>
  </si>
  <si>
    <t>Transition rate from end-of-forecast to stable percentage for corporate tax (pctge points per year)</t>
  </si>
  <si>
    <t>Transition rate from end-of-forecast to stable percentage for GST (pctge points per year)</t>
  </si>
  <si>
    <t>Transition rate from end-of-forecast to stable percentage for source deductions (pctge pts per yr)</t>
  </si>
  <si>
    <t>Transition rate from end-of-forecast to stable percentage for transport taxes (pctge pts per year)</t>
  </si>
  <si>
    <t>Transition rate from end-of-forecast to stable percentage for remaining taxes (pctge pts per year)</t>
  </si>
  <si>
    <t>Transition rate from end-of-forecast to stable percentages for elimination (pctge points per year)</t>
  </si>
  <si>
    <t>FISCAL STRATEGY MODEL (FSM) - 2018 BUDGET ECONOMIC &amp; FISCAL UPDATE (BEFU) VERSION</t>
  </si>
  <si>
    <t>2018 Budget Economic and Fiscal Update (BEFU) data and forecasts</t>
  </si>
  <si>
    <t>2018 BEFU version</t>
  </si>
  <si>
    <t>Asset/liability track, 2018 update</t>
  </si>
  <si>
    <t>Census 2013 basis, produced in 2017</t>
  </si>
  <si>
    <t>CHECK: Amortisation in Statement of Cash Flows =Sum of segments</t>
  </si>
  <si>
    <t>Core Crown amortisation &amp; impairment of intangible assets expenses</t>
  </si>
  <si>
    <t>Less net movement in cash</t>
  </si>
  <si>
    <t>2018 Budget Economic &amp; Fiscal Update (BEFU) forecast from 2017/18 onwards</t>
  </si>
  <si>
    <t>Transport and communication expenses</t>
  </si>
  <si>
    <t>2018 Budget projection from 2022/23 onwards</t>
  </si>
  <si>
    <t>Budget</t>
  </si>
  <si>
    <t>2018 Budget forecast from 2017/18 onwards</t>
  </si>
  <si>
    <t>Total investing cash flows (incl issues of circltng currency from Statement of Cash Flows)</t>
  </si>
  <si>
    <t>Functional core Crown expenses allocated to Other operating expenses</t>
  </si>
  <si>
    <t>Explanation of the worksheets in the Fiscal Strategy Model (FSM) and how they link to one another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</si>
</sst>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
    <numFmt numFmtId="167" formatCode="&quot;$&quot;#,##0.00"/>
    <numFmt numFmtId="168" formatCode="#,##0.00000"/>
    <numFmt numFmtId="169" formatCode="&quot;$&quot;#,##0"/>
    <numFmt numFmtId="170" formatCode="0.0000"/>
  </numFmts>
  <fonts count="39" x14ac:knownFonts="1">
    <font>
      <sz val="11"/>
      <color theme="1"/>
      <name val="Calibri"/>
      <family val="2"/>
      <scheme val="minor"/>
    </font>
    <font>
      <sz val="11"/>
      <color indexed="8"/>
      <name val="Arial"/>
      <family val="2"/>
    </font>
    <font>
      <b/>
      <sz val="11"/>
      <color indexed="8"/>
      <name val="Arial"/>
      <family val="2"/>
    </font>
    <font>
      <i/>
      <sz val="11"/>
      <color indexed="8"/>
      <name val="Arial"/>
      <family val="2"/>
    </font>
    <font>
      <b/>
      <sz val="11"/>
      <color indexed="8"/>
      <name val="Calibri"/>
      <family val="2"/>
    </font>
    <font>
      <sz val="9"/>
      <color indexed="81"/>
      <name val="Tahoma"/>
      <family val="2"/>
    </font>
    <font>
      <b/>
      <i/>
      <sz val="11"/>
      <color indexed="8"/>
      <name val="Arial"/>
      <family val="2"/>
    </font>
    <font>
      <i/>
      <sz val="11"/>
      <color indexed="8"/>
      <name val="Calibri"/>
      <family val="2"/>
    </font>
    <font>
      <b/>
      <sz val="11"/>
      <name val="Arial"/>
      <family val="2"/>
    </font>
    <font>
      <sz val="10"/>
      <color indexed="8"/>
      <name val="Arial"/>
      <family val="2"/>
    </font>
    <font>
      <b/>
      <i/>
      <sz val="11"/>
      <name val="Arial"/>
      <family val="2"/>
    </font>
    <font>
      <b/>
      <sz val="12"/>
      <color indexed="8"/>
      <name val="Calibri"/>
      <family val="2"/>
    </font>
    <font>
      <b/>
      <sz val="11"/>
      <color indexed="12"/>
      <name val="Calibri"/>
      <family val="2"/>
    </font>
    <font>
      <sz val="11"/>
      <color indexed="8"/>
      <name val="Calibri"/>
      <family val="2"/>
    </font>
    <font>
      <i/>
      <sz val="10"/>
      <color indexed="8"/>
      <name val="Arial"/>
      <family val="2"/>
    </font>
    <font>
      <i/>
      <sz val="10"/>
      <color indexed="8"/>
      <name val="Arial"/>
      <family val="2"/>
    </font>
    <font>
      <sz val="10"/>
      <color indexed="8"/>
      <name val="Arial"/>
      <family val="2"/>
    </font>
    <font>
      <b/>
      <sz val="10"/>
      <color indexed="8"/>
      <name val="Calibri"/>
      <family val="2"/>
    </font>
    <font>
      <sz val="11"/>
      <color theme="1"/>
      <name val="Calibri"/>
      <family val="2"/>
      <scheme val="minor"/>
    </font>
    <font>
      <u/>
      <sz val="11"/>
      <color theme="10"/>
      <name val="Calibri"/>
      <family val="2"/>
      <scheme val="minor"/>
    </font>
    <font>
      <u/>
      <sz val="11"/>
      <color theme="10"/>
      <name val="Calibri"/>
      <family val="2"/>
    </font>
    <font>
      <sz val="10"/>
      <color theme="1"/>
      <name val="Verdana"/>
      <family val="2"/>
    </font>
    <font>
      <sz val="11"/>
      <color theme="1"/>
      <name val="Arial"/>
      <family val="2"/>
    </font>
    <font>
      <b/>
      <sz val="11"/>
      <color theme="1"/>
      <name val="Arial"/>
      <family val="2"/>
    </font>
    <font>
      <i/>
      <sz val="11"/>
      <color theme="1"/>
      <name val="Arial"/>
      <family val="2"/>
    </font>
    <font>
      <sz val="11"/>
      <color rgb="FF0000FF"/>
      <name val="Arial"/>
      <family val="2"/>
    </font>
    <font>
      <sz val="11"/>
      <color rgb="FFFF0000"/>
      <name val="Arial"/>
      <family val="2"/>
    </font>
    <font>
      <b/>
      <i/>
      <sz val="11"/>
      <color theme="1"/>
      <name val="Arial"/>
      <family val="2"/>
    </font>
    <font>
      <sz val="10"/>
      <color theme="1"/>
      <name val="Arial"/>
      <family val="2"/>
    </font>
    <font>
      <b/>
      <sz val="11"/>
      <color rgb="FF0000FF"/>
      <name val="Arial"/>
      <family val="2"/>
    </font>
    <font>
      <b/>
      <sz val="11"/>
      <color rgb="FFFF0000"/>
      <name val="Arial"/>
      <family val="2"/>
    </font>
    <font>
      <b/>
      <sz val="13"/>
      <color theme="1"/>
      <name val="Arial"/>
      <family val="2"/>
    </font>
    <font>
      <b/>
      <i/>
      <sz val="12"/>
      <color theme="1"/>
      <name val="Arial"/>
      <family val="2"/>
    </font>
    <font>
      <b/>
      <sz val="12"/>
      <color theme="1"/>
      <name val="Arial"/>
      <family val="2"/>
    </font>
    <font>
      <i/>
      <sz val="10"/>
      <color theme="1"/>
      <name val="Arial"/>
      <family val="2"/>
    </font>
    <font>
      <b/>
      <i/>
      <sz val="10"/>
      <color theme="1"/>
      <name val="Arial"/>
      <family val="2"/>
    </font>
    <font>
      <b/>
      <sz val="10"/>
      <color theme="1"/>
      <name val="Arial"/>
      <family val="2"/>
    </font>
    <font>
      <u/>
      <sz val="10"/>
      <color theme="10"/>
      <name val="Calibri"/>
      <family val="2"/>
      <scheme val="minor"/>
    </font>
    <font>
      <u/>
      <sz val="12"/>
      <color theme="10"/>
      <name val="Calibri"/>
      <family val="2"/>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style="thin">
        <color indexed="64"/>
      </top>
      <bottom style="thin">
        <color indexed="64"/>
      </bottom>
      <diagonal/>
    </border>
    <border>
      <left/>
      <right/>
      <top style="thin">
        <color indexed="64"/>
      </top>
      <bottom/>
      <diagonal/>
    </border>
  </borders>
  <cellStyleXfs count="7">
    <xf numFmtId="0" fontId="0" fillId="0" borderId="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18" fillId="0" borderId="0"/>
    <xf numFmtId="0" fontId="21" fillId="0" borderId="0"/>
    <xf numFmtId="9" fontId="18" fillId="0" borderId="0" applyFont="0" applyFill="0" applyBorder="0" applyAlignment="0" applyProtection="0"/>
    <xf numFmtId="9" fontId="21" fillId="0" borderId="0" applyFont="0" applyFill="0" applyBorder="0" applyAlignment="0" applyProtection="0"/>
  </cellStyleXfs>
  <cellXfs count="113">
    <xf numFmtId="0" fontId="0" fillId="0" borderId="0" xfId="0"/>
    <xf numFmtId="0" fontId="22" fillId="0" borderId="0" xfId="0" applyFont="1"/>
    <xf numFmtId="0" fontId="23" fillId="0" borderId="0" xfId="0" applyFont="1"/>
    <xf numFmtId="3" fontId="22" fillId="0" borderId="0" xfId="0" applyNumberFormat="1" applyFont="1"/>
    <xf numFmtId="0" fontId="24" fillId="0" borderId="0" xfId="0" applyFont="1"/>
    <xf numFmtId="0" fontId="23" fillId="0" borderId="0" xfId="0" applyFont="1" applyAlignment="1">
      <alignment horizontal="center"/>
    </xf>
    <xf numFmtId="164" fontId="22" fillId="0" borderId="0" xfId="0" applyNumberFormat="1" applyFont="1"/>
    <xf numFmtId="164" fontId="23" fillId="0" borderId="0" xfId="0" applyNumberFormat="1" applyFont="1"/>
    <xf numFmtId="10" fontId="22" fillId="0" borderId="0" xfId="5" applyNumberFormat="1" applyFont="1"/>
    <xf numFmtId="2" fontId="22" fillId="0" borderId="0" xfId="0" applyNumberFormat="1" applyFont="1"/>
    <xf numFmtId="10" fontId="22" fillId="0" borderId="0" xfId="0" applyNumberFormat="1" applyFont="1"/>
    <xf numFmtId="1" fontId="22" fillId="0" borderId="0" xfId="0" applyNumberFormat="1" applyFont="1"/>
    <xf numFmtId="0" fontId="24" fillId="0" borderId="0" xfId="0" applyFont="1" applyAlignment="1">
      <alignment horizontal="left"/>
    </xf>
    <xf numFmtId="0" fontId="23" fillId="0" borderId="0" xfId="0" applyFont="1" applyAlignment="1">
      <alignment horizontal="right"/>
    </xf>
    <xf numFmtId="164" fontId="25" fillId="0" borderId="0" xfId="0" applyNumberFormat="1" applyFont="1"/>
    <xf numFmtId="164" fontId="26" fillId="0" borderId="0" xfId="0" applyNumberFormat="1" applyFont="1"/>
    <xf numFmtId="10" fontId="26" fillId="0" borderId="0" xfId="0" applyNumberFormat="1" applyFont="1"/>
    <xf numFmtId="10" fontId="25" fillId="0" borderId="0" xfId="0" applyNumberFormat="1" applyFont="1"/>
    <xf numFmtId="0" fontId="27" fillId="0" borderId="0" xfId="0" applyFont="1"/>
    <xf numFmtId="166" fontId="22" fillId="0" borderId="0" xfId="0" applyNumberFormat="1" applyFont="1"/>
    <xf numFmtId="2" fontId="25" fillId="0" borderId="0" xfId="0" applyNumberFormat="1" applyFont="1"/>
    <xf numFmtId="2" fontId="26" fillId="0" borderId="0" xfId="0" applyNumberFormat="1" applyFont="1"/>
    <xf numFmtId="3" fontId="25" fillId="0" borderId="0" xfId="0" applyNumberFormat="1" applyFont="1"/>
    <xf numFmtId="3" fontId="26" fillId="0" borderId="0" xfId="0" applyNumberFormat="1" applyFont="1"/>
    <xf numFmtId="0" fontId="25" fillId="0" borderId="0" xfId="0" applyFont="1"/>
    <xf numFmtId="0" fontId="26" fillId="0" borderId="0" xfId="0" applyFont="1"/>
    <xf numFmtId="0" fontId="8" fillId="0" borderId="0" xfId="0" applyFont="1"/>
    <xf numFmtId="164" fontId="23" fillId="0" borderId="1" xfId="0" applyNumberFormat="1" applyFont="1" applyBorder="1"/>
    <xf numFmtId="0" fontId="28" fillId="0" borderId="0" xfId="0" applyFont="1"/>
    <xf numFmtId="0" fontId="29" fillId="0" borderId="0" xfId="0" applyFont="1" applyAlignment="1">
      <alignment horizontal="center"/>
    </xf>
    <xf numFmtId="0" fontId="29" fillId="0" borderId="0" xfId="0" applyFont="1"/>
    <xf numFmtId="0" fontId="30" fillId="0" borderId="0" xfId="0" applyFont="1" applyAlignment="1">
      <alignment horizontal="center"/>
    </xf>
    <xf numFmtId="0" fontId="30" fillId="0" borderId="0" xfId="0" applyFont="1"/>
    <xf numFmtId="164" fontId="30" fillId="0" borderId="2" xfId="0" applyNumberFormat="1" applyFont="1" applyBorder="1"/>
    <xf numFmtId="164" fontId="29" fillId="0" borderId="2" xfId="0" applyNumberFormat="1" applyFont="1" applyBorder="1"/>
    <xf numFmtId="164" fontId="29" fillId="0" borderId="1" xfId="0" applyNumberFormat="1" applyFont="1" applyBorder="1"/>
    <xf numFmtId="164" fontId="30" fillId="0" borderId="1" xfId="0" applyNumberFormat="1" applyFont="1" applyBorder="1"/>
    <xf numFmtId="164" fontId="23" fillId="0" borderId="2" xfId="0" applyNumberFormat="1" applyFont="1" applyBorder="1"/>
    <xf numFmtId="164" fontId="30" fillId="0" borderId="0" xfId="0" applyNumberFormat="1" applyFont="1"/>
    <xf numFmtId="164" fontId="29" fillId="0" borderId="0" xfId="0" applyNumberFormat="1" applyFont="1"/>
    <xf numFmtId="9" fontId="22" fillId="0" borderId="0" xfId="0" applyNumberFormat="1" applyFont="1"/>
    <xf numFmtId="167" fontId="22" fillId="0" borderId="0" xfId="0" applyNumberFormat="1" applyFont="1"/>
    <xf numFmtId="167" fontId="26" fillId="0" borderId="0" xfId="0" applyNumberFormat="1" applyFont="1"/>
    <xf numFmtId="164" fontId="26" fillId="0" borderId="0" xfId="0" applyNumberFormat="1" applyFont="1" applyBorder="1"/>
    <xf numFmtId="164" fontId="22" fillId="0" borderId="0" xfId="0" applyNumberFormat="1" applyFont="1" applyBorder="1"/>
    <xf numFmtId="168" fontId="22" fillId="0" borderId="0" xfId="0" applyNumberFormat="1" applyFont="1"/>
    <xf numFmtId="164" fontId="29" fillId="0" borderId="0" xfId="0" applyNumberFormat="1" applyFont="1" applyBorder="1"/>
    <xf numFmtId="164" fontId="30" fillId="0" borderId="0" xfId="0" applyNumberFormat="1" applyFont="1" applyBorder="1"/>
    <xf numFmtId="164" fontId="23" fillId="0" borderId="0" xfId="0" applyNumberFormat="1" applyFont="1" applyBorder="1"/>
    <xf numFmtId="164" fontId="25" fillId="0" borderId="0" xfId="0" applyNumberFormat="1" applyFont="1" applyFill="1"/>
    <xf numFmtId="10" fontId="25" fillId="0" borderId="0" xfId="5" applyNumberFormat="1" applyFont="1"/>
    <xf numFmtId="10" fontId="26" fillId="0" borderId="0" xfId="5" applyNumberFormat="1" applyFont="1"/>
    <xf numFmtId="164" fontId="23" fillId="0" borderId="0" xfId="0" applyNumberFormat="1" applyFont="1" applyAlignment="1">
      <alignment horizontal="center"/>
    </xf>
    <xf numFmtId="164" fontId="25" fillId="0" borderId="0" xfId="0" applyNumberFormat="1" applyFont="1" applyBorder="1"/>
    <xf numFmtId="0" fontId="31" fillId="0" borderId="0" xfId="0" applyFont="1"/>
    <xf numFmtId="166" fontId="29" fillId="0" borderId="0" xfId="5" applyNumberFormat="1" applyFont="1"/>
    <xf numFmtId="166" fontId="23" fillId="0" borderId="0" xfId="5" applyNumberFormat="1" applyFont="1"/>
    <xf numFmtId="166" fontId="30" fillId="0" borderId="0" xfId="5" applyNumberFormat="1" applyFont="1"/>
    <xf numFmtId="0" fontId="32" fillId="0" borderId="0" xfId="0" applyFont="1"/>
    <xf numFmtId="0" fontId="33" fillId="0" borderId="0" xfId="0" applyFont="1"/>
    <xf numFmtId="164" fontId="23" fillId="2" borderId="0" xfId="0" applyNumberFormat="1" applyFont="1" applyFill="1"/>
    <xf numFmtId="0" fontId="22" fillId="0" borderId="0" xfId="0" applyNumberFormat="1" applyFont="1" applyAlignment="1">
      <alignment horizontal="center"/>
    </xf>
    <xf numFmtId="0" fontId="22" fillId="0" borderId="0" xfId="0" applyFont="1" applyAlignment="1">
      <alignment horizontal="right"/>
    </xf>
    <xf numFmtId="166" fontId="22" fillId="0" borderId="0" xfId="5" applyNumberFormat="1" applyFont="1"/>
    <xf numFmtId="0" fontId="25" fillId="0" borderId="0" xfId="0" applyFont="1" applyAlignment="1">
      <alignment horizontal="center"/>
    </xf>
    <xf numFmtId="1" fontId="23" fillId="2" borderId="0" xfId="0" applyNumberFormat="1" applyFont="1" applyFill="1" applyAlignment="1">
      <alignment horizontal="center"/>
    </xf>
    <xf numFmtId="10" fontId="23" fillId="0" borderId="0" xfId="5" applyNumberFormat="1" applyFont="1"/>
    <xf numFmtId="1" fontId="23" fillId="0" borderId="0" xfId="0" applyNumberFormat="1" applyFont="1"/>
    <xf numFmtId="0" fontId="34" fillId="0" borderId="0" xfId="0" applyFont="1"/>
    <xf numFmtId="0" fontId="35" fillId="0" borderId="0" xfId="0" applyFont="1"/>
    <xf numFmtId="0" fontId="16" fillId="0" borderId="0" xfId="0" applyFont="1"/>
    <xf numFmtId="0" fontId="20" fillId="0" borderId="0" xfId="2" applyAlignment="1" applyProtection="1"/>
    <xf numFmtId="0" fontId="36" fillId="0" borderId="0" xfId="0" applyFont="1"/>
    <xf numFmtId="0" fontId="15" fillId="0" borderId="0" xfId="0" applyFont="1"/>
    <xf numFmtId="0" fontId="36" fillId="0" borderId="0" xfId="0" applyNumberFormat="1" applyFont="1" applyAlignment="1">
      <alignment horizontal="center"/>
    </xf>
    <xf numFmtId="0" fontId="36" fillId="0" borderId="0" xfId="0" applyFont="1" applyAlignment="1">
      <alignment horizontal="center"/>
    </xf>
    <xf numFmtId="164" fontId="36" fillId="0" borderId="0" xfId="0" applyNumberFormat="1" applyFont="1" applyAlignment="1">
      <alignment horizontal="center"/>
    </xf>
    <xf numFmtId="10" fontId="28" fillId="0" borderId="0" xfId="5" applyNumberFormat="1" applyFont="1"/>
    <xf numFmtId="165" fontId="36" fillId="0" borderId="0" xfId="5" applyNumberFormat="1" applyFont="1"/>
    <xf numFmtId="170" fontId="28" fillId="0" borderId="0" xfId="0" applyNumberFormat="1" applyFont="1"/>
    <xf numFmtId="3" fontId="28" fillId="0" borderId="0" xfId="0" applyNumberFormat="1" applyFont="1"/>
    <xf numFmtId="1" fontId="36" fillId="0" borderId="0" xfId="0" applyNumberFormat="1" applyFont="1"/>
    <xf numFmtId="164" fontId="28" fillId="0" borderId="0" xfId="0" applyNumberFormat="1" applyFont="1"/>
    <xf numFmtId="164" fontId="36" fillId="0" borderId="0" xfId="0" applyNumberFormat="1" applyFont="1"/>
    <xf numFmtId="0" fontId="37" fillId="0" borderId="0" xfId="1" applyFont="1"/>
    <xf numFmtId="165" fontId="28" fillId="0" borderId="0" xfId="0" applyNumberFormat="1" applyFont="1"/>
    <xf numFmtId="168" fontId="28" fillId="0" borderId="0" xfId="0" applyNumberFormat="1" applyFont="1"/>
    <xf numFmtId="9" fontId="28" fillId="0" borderId="0" xfId="0" applyNumberFormat="1" applyFont="1"/>
    <xf numFmtId="9" fontId="36" fillId="0" borderId="0" xfId="0" applyNumberFormat="1" applyFont="1"/>
    <xf numFmtId="166" fontId="28" fillId="0" borderId="0" xfId="0" applyNumberFormat="1" applyFont="1"/>
    <xf numFmtId="169" fontId="28" fillId="0" borderId="0" xfId="0" applyNumberFormat="1" applyFont="1"/>
    <xf numFmtId="10" fontId="28" fillId="0" borderId="0" xfId="0" applyNumberFormat="1" applyFont="1"/>
    <xf numFmtId="164" fontId="26" fillId="0" borderId="0" xfId="0" applyNumberFormat="1" applyFont="1" applyFill="1"/>
    <xf numFmtId="0" fontId="23" fillId="0" borderId="0" xfId="0" applyFont="1" applyFill="1"/>
    <xf numFmtId="0" fontId="30" fillId="0" borderId="0" xfId="0" applyFont="1" applyFill="1"/>
    <xf numFmtId="0" fontId="22" fillId="0" borderId="0" xfId="0" applyFont="1" applyFill="1"/>
    <xf numFmtId="164" fontId="22" fillId="0" borderId="0" xfId="0" applyNumberFormat="1" applyFont="1" applyFill="1"/>
    <xf numFmtId="164" fontId="23" fillId="0" borderId="1" xfId="0" applyNumberFormat="1" applyFont="1" applyFill="1" applyBorder="1"/>
    <xf numFmtId="164" fontId="30" fillId="0" borderId="1" xfId="0" applyNumberFormat="1" applyFont="1" applyFill="1" applyBorder="1"/>
    <xf numFmtId="164" fontId="23" fillId="0" borderId="0" xfId="0" applyNumberFormat="1" applyFont="1" applyFill="1"/>
    <xf numFmtId="164" fontId="30" fillId="0" borderId="0" xfId="0" applyNumberFormat="1" applyFont="1" applyFill="1"/>
    <xf numFmtId="164" fontId="23" fillId="0" borderId="1" xfId="0" applyNumberFormat="1" applyFont="1" applyFill="1" applyBorder="1" applyAlignment="1">
      <alignment horizontal="center"/>
    </xf>
    <xf numFmtId="164" fontId="30" fillId="0" borderId="1" xfId="0" applyNumberFormat="1" applyFont="1" applyFill="1" applyBorder="1" applyAlignment="1">
      <alignment horizontal="center"/>
    </xf>
    <xf numFmtId="1" fontId="22" fillId="0" borderId="0" xfId="0" applyNumberFormat="1" applyFont="1" applyFill="1"/>
    <xf numFmtId="164" fontId="23" fillId="0" borderId="0" xfId="0" applyNumberFormat="1" applyFont="1" applyFill="1" applyBorder="1" applyAlignment="1">
      <alignment horizontal="center"/>
    </xf>
    <xf numFmtId="164" fontId="30" fillId="0" borderId="0" xfId="0" applyNumberFormat="1" applyFont="1" applyFill="1" applyBorder="1" applyAlignment="1">
      <alignment horizontal="center"/>
    </xf>
    <xf numFmtId="0" fontId="36" fillId="0" borderId="0" xfId="0" applyFont="1" applyFill="1"/>
    <xf numFmtId="0" fontId="28" fillId="0" borderId="0" xfId="0" applyFont="1" applyFill="1"/>
    <xf numFmtId="0" fontId="26" fillId="0" borderId="0" xfId="0" applyFont="1" applyFill="1" applyAlignment="1">
      <alignment horizontal="center"/>
    </xf>
    <xf numFmtId="0" fontId="22" fillId="0" borderId="0" xfId="0" applyFont="1" applyFill="1" applyAlignment="1">
      <alignment horizontal="center"/>
    </xf>
    <xf numFmtId="0" fontId="14" fillId="0" borderId="0" xfId="0" applyFont="1"/>
    <xf numFmtId="0" fontId="19" fillId="0" borderId="0" xfId="1" applyAlignment="1" applyProtection="1"/>
    <xf numFmtId="0" fontId="38" fillId="0" borderId="0" xfId="1" applyFont="1" applyAlignment="1" applyProtection="1"/>
  </cellXfs>
  <cellStyles count="7">
    <cellStyle name="Hyperlink" xfId="1" builtinId="8"/>
    <cellStyle name="Hyperlink 2" xfId="2"/>
    <cellStyle name="Normal" xfId="0" builtinId="0"/>
    <cellStyle name="Normal 11 2" xfId="3"/>
    <cellStyle name="Normal 2" xfId="4"/>
    <cellStyle name="Percent" xfId="5" builtinId="5"/>
    <cellStyle name="Percent 2" xfId="6"/>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Drop" dropLines="17" dropStyle="combo" dx="22" fmlaLink="Display!$B$1" fmlaRange="Display!$A$2:$A$18" noThreeD="1" sel="2" val="0"/>
</file>

<file path=xl/ctrlProps/ctrlProp2.xml><?xml version="1.0" encoding="utf-8"?>
<formControlPr xmlns="http://schemas.microsoft.com/office/spreadsheetml/2009/9/main" objectType="Drop" dropLines="17" dropStyle="combo" dx="22" fmlaLink="Display!$B$1" fmlaRange="Display!$A$2:$A$18"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6</xdr:row>
          <xdr:rowOff>0</xdr:rowOff>
        </xdr:from>
        <xdr:to>
          <xdr:col>0</xdr:col>
          <xdr:colOff>5629275</xdr:colOff>
          <xdr:row>7</xdr:row>
          <xdr:rowOff>9525</xdr:rowOff>
        </xdr:to>
        <xdr:sp macro="" textlink="">
          <xdr:nvSpPr>
            <xdr:cNvPr id="189441" name="Drop Down 1" hidden="1">
              <a:extLst>
                <a:ext uri="{63B3BB69-23CF-44E3-9099-C40C66FF867C}">
                  <a14:compatExt spid="_x0000_s1894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6</xdr:row>
          <xdr:rowOff>0</xdr:rowOff>
        </xdr:from>
        <xdr:to>
          <xdr:col>0</xdr:col>
          <xdr:colOff>5629275</xdr:colOff>
          <xdr:row>7</xdr:row>
          <xdr:rowOff>9525</xdr:rowOff>
        </xdr:to>
        <xdr:sp macro="" textlink="">
          <xdr:nvSpPr>
            <xdr:cNvPr id="183297" name="Drop Down 1" hidden="1">
              <a:extLst>
                <a:ext uri="{63B3BB69-23CF-44E3-9099-C40C66FF867C}">
                  <a14:compatExt spid="_x0000_s1832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13.bin"/><Relationship Id="rId4" Type="http://schemas.openxmlformats.org/officeDocument/2006/relationships/ctrlProp" Target="../ctrlProps/ctrlProp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reasury.govt.nz/publications/information-release/archive-new-zealand-superannuation-nzs-fund-contribution-rate-models"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educationcounts.govt.nz/statistics" TargetMode="External"/><Relationship Id="rId2" Type="http://schemas.openxmlformats.org/officeDocument/2006/relationships/hyperlink" Target="https://treasury.govt.nz/publications/information-release/archive-new-zealand-superannuation-nzs-fund-contribution-rate-models" TargetMode="External"/><Relationship Id="rId1" Type="http://schemas.openxmlformats.org/officeDocument/2006/relationships/hyperlink" Target="http://www.stats.govt.nz/"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stats.govt.nz/infoshare/" TargetMode="External"/><Relationship Id="rId1" Type="http://schemas.openxmlformats.org/officeDocument/2006/relationships/hyperlink" Target="http://www.stats.govt.nz/browse_for_stats/population/estimates_and_projections/national-population-projections-info-releases.aspx"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nzdotstat.stats.govt.nz/wbos/Index.aspx"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treasury.govt.nz/publications/information-release/archive-new-zealand-superannuation-nzs-fund-contribution-rate-models"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A27" sqref="A27"/>
    </sheetView>
  </sheetViews>
  <sheetFormatPr defaultRowHeight="15" x14ac:dyDescent="0.25"/>
  <cols>
    <col min="1" max="1" width="80.7109375" customWidth="1"/>
  </cols>
  <sheetData>
    <row r="1" spans="1:3" ht="15.75" x14ac:dyDescent="0.25">
      <c r="A1" s="58" t="s">
        <v>708</v>
      </c>
      <c r="B1">
        <v>2</v>
      </c>
      <c r="C1">
        <f ca="1">OFFSET($A$1,$B$1,1)</f>
        <v>75</v>
      </c>
    </row>
    <row r="2" spans="1:3" ht="15.75" x14ac:dyDescent="0.25">
      <c r="A2" s="59" t="s">
        <v>698</v>
      </c>
      <c r="B2" s="3">
        <v>38</v>
      </c>
    </row>
    <row r="3" spans="1:3" ht="15.75" x14ac:dyDescent="0.25">
      <c r="A3" s="59" t="s">
        <v>700</v>
      </c>
      <c r="B3" s="3">
        <v>75</v>
      </c>
    </row>
    <row r="4" spans="1:3" ht="15.75" x14ac:dyDescent="0.25">
      <c r="A4" s="59" t="s">
        <v>647</v>
      </c>
      <c r="B4" s="3">
        <v>48</v>
      </c>
    </row>
    <row r="5" spans="1:3" ht="15.75" x14ac:dyDescent="0.25">
      <c r="A5" s="59" t="s">
        <v>699</v>
      </c>
      <c r="B5" s="3">
        <v>70</v>
      </c>
    </row>
    <row r="6" spans="1:3" ht="15.75" x14ac:dyDescent="0.25">
      <c r="A6" s="59" t="s">
        <v>245</v>
      </c>
      <c r="B6" s="3">
        <v>44</v>
      </c>
    </row>
    <row r="7" spans="1:3" ht="15.75" x14ac:dyDescent="0.25">
      <c r="A7" s="59" t="s">
        <v>247</v>
      </c>
      <c r="B7" s="3">
        <v>45</v>
      </c>
    </row>
    <row r="8" spans="1:3" ht="15.75" x14ac:dyDescent="0.25">
      <c r="A8" s="59" t="s">
        <v>262</v>
      </c>
      <c r="B8" s="3">
        <v>46</v>
      </c>
    </row>
    <row r="9" spans="1:3" ht="15.75" x14ac:dyDescent="0.25">
      <c r="A9" s="59" t="s">
        <v>646</v>
      </c>
      <c r="B9" s="3">
        <v>47</v>
      </c>
    </row>
    <row r="10" spans="1:3" ht="15.75" x14ac:dyDescent="0.25">
      <c r="A10" s="59" t="s">
        <v>701</v>
      </c>
      <c r="B10" s="3">
        <v>35</v>
      </c>
    </row>
    <row r="11" spans="1:3" ht="15.75" x14ac:dyDescent="0.25">
      <c r="A11" s="59" t="s">
        <v>702</v>
      </c>
      <c r="B11" s="3">
        <v>36</v>
      </c>
    </row>
    <row r="12" spans="1:3" ht="15.75" x14ac:dyDescent="0.25">
      <c r="A12" s="59" t="s">
        <v>644</v>
      </c>
      <c r="B12" s="3">
        <v>42</v>
      </c>
    </row>
    <row r="13" spans="1:3" ht="15.75" x14ac:dyDescent="0.25">
      <c r="A13" s="59" t="s">
        <v>706</v>
      </c>
      <c r="B13" s="3">
        <v>132</v>
      </c>
    </row>
    <row r="14" spans="1:3" ht="15.75" x14ac:dyDescent="0.25">
      <c r="A14" s="59" t="s">
        <v>705</v>
      </c>
      <c r="B14" s="3">
        <v>130</v>
      </c>
    </row>
    <row r="15" spans="1:3" ht="15.75" x14ac:dyDescent="0.25">
      <c r="A15" s="59" t="s">
        <v>654</v>
      </c>
      <c r="B15" s="3">
        <v>54</v>
      </c>
    </row>
    <row r="16" spans="1:3" ht="15.75" x14ac:dyDescent="0.25">
      <c r="A16" s="59" t="s">
        <v>703</v>
      </c>
      <c r="B16" s="3">
        <v>56</v>
      </c>
    </row>
    <row r="17" spans="1:2" ht="15.75" x14ac:dyDescent="0.25">
      <c r="A17" s="59" t="s">
        <v>268</v>
      </c>
      <c r="B17" s="3">
        <v>62</v>
      </c>
    </row>
    <row r="18" spans="1:2" ht="15.75" x14ac:dyDescent="0.25">
      <c r="A18" s="59" t="s">
        <v>704</v>
      </c>
      <c r="B18" s="3">
        <v>67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Normal="100" workbookViewId="0">
      <pane xSplit="1" topLeftCell="H1" activePane="topRight" state="frozen"/>
      <selection pane="topRight" activeCell="G27" sqref="G27"/>
    </sheetView>
  </sheetViews>
  <sheetFormatPr defaultRowHeight="14.25" x14ac:dyDescent="0.2"/>
  <cols>
    <col min="1" max="1" width="85.7109375" style="1" customWidth="1"/>
    <col min="2" max="2" width="5.7109375" style="1" customWidth="1"/>
    <col min="3" max="20" width="10.7109375" style="1" customWidth="1"/>
    <col min="21" max="16384" width="9.140625" style="1"/>
  </cols>
  <sheetData>
    <row r="1" spans="1:20" ht="15" x14ac:dyDescent="0.25">
      <c r="A1" s="2" t="s">
        <v>101</v>
      </c>
      <c r="B1" s="2"/>
    </row>
    <row r="2" spans="1:20" ht="15" x14ac:dyDescent="0.25">
      <c r="A2" s="4" t="s">
        <v>848</v>
      </c>
      <c r="P2" s="32" t="s">
        <v>1307</v>
      </c>
      <c r="Q2" s="25"/>
      <c r="R2" s="25"/>
      <c r="S2" s="25"/>
      <c r="T2" s="25"/>
    </row>
    <row r="3" spans="1:20" x14ac:dyDescent="0.2">
      <c r="O3" s="25"/>
      <c r="P3" s="25"/>
      <c r="Q3" s="25"/>
      <c r="R3" s="25"/>
      <c r="S3" s="25"/>
      <c r="T3" s="25"/>
    </row>
    <row r="4" spans="1:20" ht="15" x14ac:dyDescent="0.25">
      <c r="A4" s="2" t="s">
        <v>11</v>
      </c>
      <c r="B4" s="2"/>
      <c r="C4" s="5" t="s">
        <v>710</v>
      </c>
      <c r="D4" s="5" t="s">
        <v>12</v>
      </c>
      <c r="E4" s="5" t="s">
        <v>13</v>
      </c>
      <c r="F4" s="5" t="s">
        <v>14</v>
      </c>
      <c r="G4" s="5" t="s">
        <v>15</v>
      </c>
      <c r="H4" s="5" t="s">
        <v>17</v>
      </c>
      <c r="I4" s="5" t="s">
        <v>16</v>
      </c>
      <c r="J4" s="5" t="s">
        <v>18</v>
      </c>
      <c r="K4" s="5" t="s">
        <v>19</v>
      </c>
      <c r="L4" s="5" t="s">
        <v>20</v>
      </c>
      <c r="M4" s="5" t="s">
        <v>21</v>
      </c>
      <c r="N4" s="5" t="s">
        <v>23</v>
      </c>
      <c r="O4" s="5" t="s">
        <v>24</v>
      </c>
      <c r="P4" s="31" t="s">
        <v>25</v>
      </c>
      <c r="Q4" s="31" t="s">
        <v>26</v>
      </c>
      <c r="R4" s="31" t="s">
        <v>27</v>
      </c>
      <c r="S4" s="31" t="s">
        <v>28</v>
      </c>
      <c r="T4" s="31" t="s">
        <v>29</v>
      </c>
    </row>
    <row r="5" spans="1:20" ht="15" x14ac:dyDescent="0.25">
      <c r="C5" s="2">
        <v>2005</v>
      </c>
      <c r="D5" s="2">
        <v>2006</v>
      </c>
      <c r="E5" s="2">
        <v>2007</v>
      </c>
      <c r="F5" s="2">
        <v>2008</v>
      </c>
      <c r="G5" s="2">
        <v>2009</v>
      </c>
      <c r="H5" s="2">
        <v>2010</v>
      </c>
      <c r="I5" s="2">
        <v>2011</v>
      </c>
      <c r="J5" s="2">
        <v>2012</v>
      </c>
      <c r="K5" s="2">
        <v>2013</v>
      </c>
      <c r="L5" s="2">
        <v>2014</v>
      </c>
      <c r="M5" s="2">
        <v>2015</v>
      </c>
      <c r="N5" s="2">
        <v>2016</v>
      </c>
      <c r="O5" s="2">
        <v>2017</v>
      </c>
      <c r="P5" s="32">
        <v>2018</v>
      </c>
      <c r="Q5" s="32">
        <v>2019</v>
      </c>
      <c r="R5" s="32">
        <v>2020</v>
      </c>
      <c r="S5" s="32">
        <v>2021</v>
      </c>
      <c r="T5" s="32">
        <v>2022</v>
      </c>
    </row>
    <row r="6" spans="1:20" ht="15" x14ac:dyDescent="0.25">
      <c r="A6" s="2" t="s">
        <v>107</v>
      </c>
      <c r="B6" s="2"/>
      <c r="C6" s="6">
        <v>181.61600000000001</v>
      </c>
      <c r="D6" s="6">
        <v>187</v>
      </c>
      <c r="E6" s="6">
        <v>192.583</v>
      </c>
      <c r="F6" s="6">
        <v>197.13300000000001</v>
      </c>
      <c r="G6" s="6">
        <v>193.85</v>
      </c>
      <c r="H6" s="6">
        <v>195.49600000000001</v>
      </c>
      <c r="I6" s="6">
        <v>197.78</v>
      </c>
      <c r="J6" s="6">
        <v>203.154</v>
      </c>
      <c r="K6" s="6">
        <v>207.63900000000001</v>
      </c>
      <c r="L6" s="6">
        <v>213.208</v>
      </c>
      <c r="M6" s="6">
        <v>221.56800000000001</v>
      </c>
      <c r="N6" s="6">
        <v>229.935</v>
      </c>
      <c r="O6" s="6">
        <v>237.63200000000001</v>
      </c>
      <c r="P6" s="15">
        <v>244.17400000000001</v>
      </c>
      <c r="Q6" s="15">
        <v>252.261</v>
      </c>
      <c r="R6" s="15">
        <v>260.72199999999998</v>
      </c>
      <c r="S6" s="15">
        <v>267.89</v>
      </c>
      <c r="T6" s="15">
        <v>274.57</v>
      </c>
    </row>
    <row r="7" spans="1:20" ht="15" x14ac:dyDescent="0.25">
      <c r="A7" s="2" t="s">
        <v>123</v>
      </c>
      <c r="B7" s="2"/>
      <c r="C7" s="6">
        <v>156.78800000000001</v>
      </c>
      <c r="D7" s="6">
        <v>164.55699999999999</v>
      </c>
      <c r="E7" s="6">
        <v>175.45699999999999</v>
      </c>
      <c r="F7" s="6">
        <v>189.011</v>
      </c>
      <c r="G7" s="6">
        <v>189.505</v>
      </c>
      <c r="H7" s="6">
        <v>196.727</v>
      </c>
      <c r="I7" s="6">
        <v>205.804</v>
      </c>
      <c r="J7" s="6">
        <v>215.12200000000001</v>
      </c>
      <c r="K7" s="6">
        <v>218.75700000000001</v>
      </c>
      <c r="L7" s="6">
        <v>236.65</v>
      </c>
      <c r="M7" s="6">
        <v>245.01900000000001</v>
      </c>
      <c r="N7" s="6">
        <v>257.73599999999999</v>
      </c>
      <c r="O7" s="6">
        <v>274.22000000000003</v>
      </c>
      <c r="P7" s="15">
        <v>291.02</v>
      </c>
      <c r="Q7" s="15">
        <v>304.59100000000001</v>
      </c>
      <c r="R7" s="15">
        <v>319.971</v>
      </c>
      <c r="S7" s="15">
        <v>334.721</v>
      </c>
      <c r="T7" s="15">
        <v>349.79199999999997</v>
      </c>
    </row>
    <row r="8" spans="1:20" ht="15" x14ac:dyDescent="0.25">
      <c r="A8" s="2" t="s">
        <v>1184</v>
      </c>
      <c r="B8" s="2"/>
      <c r="C8" s="6">
        <v>2.1385000000000001</v>
      </c>
      <c r="D8" s="6">
        <v>2.1983000000000001</v>
      </c>
      <c r="E8" s="6">
        <v>2.2330000000000001</v>
      </c>
      <c r="F8" s="6">
        <v>2.2588000000000004</v>
      </c>
      <c r="G8" s="6">
        <v>2.2813000000000003</v>
      </c>
      <c r="H8" s="6">
        <v>2.2868000000000004</v>
      </c>
      <c r="I8" s="6">
        <v>2.3144999999999998</v>
      </c>
      <c r="J8" s="6">
        <v>2.3368000000000002</v>
      </c>
      <c r="K8" s="6">
        <v>2.3413000000000004</v>
      </c>
      <c r="L8" s="6">
        <v>2.4005000000000001</v>
      </c>
      <c r="M8" s="6">
        <v>2.4748000000000001</v>
      </c>
      <c r="N8" s="6">
        <v>2.5265</v>
      </c>
      <c r="O8" s="6">
        <v>2.6505000000000001</v>
      </c>
      <c r="P8" s="15">
        <v>2.7376</v>
      </c>
      <c r="Q8" s="15">
        <v>2.79</v>
      </c>
      <c r="R8" s="15">
        <v>2.8365</v>
      </c>
      <c r="S8" s="15">
        <v>2.8789000000000002</v>
      </c>
      <c r="T8" s="15">
        <v>2.9175999999999997</v>
      </c>
    </row>
    <row r="9" spans="1:20" ht="15" x14ac:dyDescent="0.25">
      <c r="A9" s="2" t="s">
        <v>1185</v>
      </c>
      <c r="B9" s="2"/>
      <c r="C9" s="6">
        <v>3.1745999999999999</v>
      </c>
      <c r="D9" s="6">
        <v>3.2250999999999999</v>
      </c>
      <c r="E9" s="6">
        <v>3.2725999999999997</v>
      </c>
      <c r="F9" s="6">
        <v>3.3045999999999998</v>
      </c>
      <c r="G9" s="6">
        <v>3.3358000000000003</v>
      </c>
      <c r="H9" s="6">
        <v>3.3767</v>
      </c>
      <c r="I9" s="6">
        <v>3.4116</v>
      </c>
      <c r="J9" s="6">
        <v>3.4369999999999998</v>
      </c>
      <c r="K9" s="6">
        <v>3.4639000000000002</v>
      </c>
      <c r="L9" s="6">
        <v>3.5129999999999999</v>
      </c>
      <c r="M9" s="6">
        <v>3.5855999999999999</v>
      </c>
      <c r="N9" s="6">
        <v>3.6730999999999998</v>
      </c>
      <c r="O9" s="6">
        <v>3.7694000000000001</v>
      </c>
      <c r="P9" s="15">
        <v>3.8553999999999999</v>
      </c>
      <c r="Q9" s="15">
        <v>3.9365000000000001</v>
      </c>
      <c r="R9" s="15">
        <v>4.0042999999999997</v>
      </c>
      <c r="S9" s="15">
        <v>4.0639000000000003</v>
      </c>
      <c r="T9" s="15">
        <v>4.1183999999999994</v>
      </c>
    </row>
    <row r="10" spans="1:20" ht="15" x14ac:dyDescent="0.25">
      <c r="A10" s="2" t="s">
        <v>894</v>
      </c>
      <c r="B10" s="2"/>
      <c r="C10" s="6">
        <v>4.1189</v>
      </c>
      <c r="D10" s="6">
        <v>4.1669</v>
      </c>
      <c r="E10" s="6">
        <v>4.2119999999999997</v>
      </c>
      <c r="F10" s="6">
        <v>4.2488999999999999</v>
      </c>
      <c r="G10" s="6">
        <v>4.2865000000000002</v>
      </c>
      <c r="H10" s="6">
        <v>4.3365</v>
      </c>
      <c r="I10" s="6">
        <v>4.3757999999999999</v>
      </c>
      <c r="J10" s="6">
        <v>4.4015000000000004</v>
      </c>
      <c r="K10" s="6">
        <v>4.4298999999999999</v>
      </c>
      <c r="L10" s="6">
        <v>4.4847999999999999</v>
      </c>
      <c r="M10" s="6">
        <v>4.5655000000000001</v>
      </c>
      <c r="N10" s="6">
        <v>4.6593</v>
      </c>
      <c r="O10" s="6">
        <v>4.7593999999999994</v>
      </c>
      <c r="P10" s="15">
        <v>4.8548999999999998</v>
      </c>
      <c r="Q10" s="15">
        <v>4.9488000000000003</v>
      </c>
      <c r="R10" s="15">
        <v>5.0283999999999995</v>
      </c>
      <c r="S10" s="15">
        <v>5.0968</v>
      </c>
      <c r="T10" s="15">
        <v>5.1581000000000001</v>
      </c>
    </row>
    <row r="11" spans="1:20" ht="15" x14ac:dyDescent="0.25">
      <c r="A11" s="2" t="s">
        <v>108</v>
      </c>
      <c r="B11" s="2"/>
      <c r="C11" s="10">
        <v>3.8300000000000001E-2</v>
      </c>
      <c r="D11" s="10">
        <v>3.8300000000000001E-2</v>
      </c>
      <c r="E11" s="10">
        <v>3.7999999999999999E-2</v>
      </c>
      <c r="F11" s="10">
        <v>3.6000000000000004E-2</v>
      </c>
      <c r="G11" s="10">
        <v>4.7800000000000002E-2</v>
      </c>
      <c r="H11" s="10">
        <v>6.25E-2</v>
      </c>
      <c r="I11" s="10">
        <v>6.0499999999999998E-2</v>
      </c>
      <c r="J11" s="10">
        <v>6.13E-2</v>
      </c>
      <c r="K11" s="10">
        <v>6.13E-2</v>
      </c>
      <c r="L11" s="10">
        <v>5.5300000000000002E-2</v>
      </c>
      <c r="M11" s="10">
        <v>5.4000000000000006E-2</v>
      </c>
      <c r="N11" s="10">
        <v>5.2000000000000005E-2</v>
      </c>
      <c r="O11" s="10">
        <v>4.9800000000000004E-2</v>
      </c>
      <c r="P11" s="16">
        <v>4.5400000000000003E-2</v>
      </c>
      <c r="Q11" s="16">
        <v>4.3499999999999997E-2</v>
      </c>
      <c r="R11" s="16">
        <v>4.1100000000000005E-2</v>
      </c>
      <c r="S11" s="16">
        <v>4.0999999999999995E-2</v>
      </c>
      <c r="T11" s="16">
        <v>4.1599999999999998E-2</v>
      </c>
    </row>
    <row r="12" spans="1:20" ht="15" x14ac:dyDescent="0.25">
      <c r="A12" s="2" t="s">
        <v>109</v>
      </c>
      <c r="B12" s="2"/>
      <c r="C12" s="9">
        <v>34.799999999999997</v>
      </c>
      <c r="D12" s="9">
        <v>34.520000000000003</v>
      </c>
      <c r="E12" s="9">
        <v>34.33</v>
      </c>
      <c r="F12" s="9">
        <v>33.97</v>
      </c>
      <c r="G12" s="9">
        <v>33.57</v>
      </c>
      <c r="H12" s="9">
        <v>33.450000000000003</v>
      </c>
      <c r="I12" s="9">
        <v>33.53</v>
      </c>
      <c r="J12" s="9">
        <v>33.42</v>
      </c>
      <c r="K12" s="9">
        <v>33.659999999999997</v>
      </c>
      <c r="L12" s="9">
        <v>33.67</v>
      </c>
      <c r="M12" s="9">
        <v>33.49</v>
      </c>
      <c r="N12" s="9">
        <v>33.71</v>
      </c>
      <c r="O12" s="9">
        <v>33.67</v>
      </c>
      <c r="P12" s="21">
        <v>33.630000000000003</v>
      </c>
      <c r="Q12" s="21">
        <v>33.619999999999997</v>
      </c>
      <c r="R12" s="21">
        <v>33.61</v>
      </c>
      <c r="S12" s="21">
        <v>33.56</v>
      </c>
      <c r="T12" s="21">
        <v>33.51</v>
      </c>
    </row>
    <row r="13" spans="1:20" ht="15" x14ac:dyDescent="0.25">
      <c r="A13" s="2" t="s">
        <v>103</v>
      </c>
      <c r="B13" s="2"/>
      <c r="C13" s="10">
        <v>5.7999999999999996E-3</v>
      </c>
      <c r="D13" s="10">
        <v>9.7000000000000003E-3</v>
      </c>
      <c r="E13" s="10">
        <v>1.9099999999999999E-2</v>
      </c>
      <c r="F13" s="10">
        <v>2.0799999999999999E-2</v>
      </c>
      <c r="G13" s="10">
        <v>-3.0000000000000001E-3</v>
      </c>
      <c r="H13" s="10">
        <v>2.5999999999999999E-2</v>
      </c>
      <c r="I13" s="10">
        <v>-5.4000000000000003E-3</v>
      </c>
      <c r="J13" s="10">
        <v>2.18E-2</v>
      </c>
      <c r="K13" s="10">
        <v>1.29E-2</v>
      </c>
      <c r="L13" s="10">
        <v>-5.1000000000000004E-3</v>
      </c>
      <c r="M13" s="10">
        <v>1.2E-2</v>
      </c>
      <c r="N13" s="10">
        <v>7.7000000000000002E-3</v>
      </c>
      <c r="O13" s="10">
        <v>-1.6E-2</v>
      </c>
      <c r="P13" s="16">
        <v>-8.8000000000000005E-3</v>
      </c>
      <c r="Q13" s="16">
        <v>1.21E-2</v>
      </c>
      <c r="R13" s="16">
        <v>1.44E-2</v>
      </c>
      <c r="S13" s="16">
        <v>1.3599999999999999E-2</v>
      </c>
      <c r="T13" s="16">
        <v>1.35E-2</v>
      </c>
    </row>
    <row r="14" spans="1:20" ht="15" x14ac:dyDescent="0.25">
      <c r="A14" s="2" t="s">
        <v>104</v>
      </c>
      <c r="B14" s="2"/>
      <c r="C14" s="3">
        <v>784</v>
      </c>
      <c r="D14" s="3">
        <v>816</v>
      </c>
      <c r="E14" s="3">
        <v>832</v>
      </c>
      <c r="F14" s="3">
        <v>865</v>
      </c>
      <c r="G14" s="3">
        <v>882</v>
      </c>
      <c r="H14" s="3">
        <v>896</v>
      </c>
      <c r="I14" s="3">
        <v>944</v>
      </c>
      <c r="J14" s="3">
        <v>953</v>
      </c>
      <c r="K14" s="3">
        <v>959</v>
      </c>
      <c r="L14" s="3">
        <v>975</v>
      </c>
      <c r="M14" s="3">
        <v>979</v>
      </c>
      <c r="N14" s="3">
        <v>983</v>
      </c>
      <c r="O14" s="3">
        <v>1000</v>
      </c>
      <c r="P14" s="23">
        <v>1014</v>
      </c>
      <c r="Q14" s="23">
        <v>1029</v>
      </c>
      <c r="R14" s="23">
        <v>1047</v>
      </c>
      <c r="S14" s="23">
        <v>1068</v>
      </c>
      <c r="T14" s="23">
        <v>1089</v>
      </c>
    </row>
    <row r="15" spans="1:20" ht="15" x14ac:dyDescent="0.25">
      <c r="A15" s="2" t="s">
        <v>105</v>
      </c>
      <c r="B15" s="2"/>
      <c r="C15" s="10">
        <v>3.2399999999999998E-2</v>
      </c>
      <c r="D15" s="10">
        <v>4.9700000000000001E-2</v>
      </c>
      <c r="E15" s="10">
        <v>4.8099999999999997E-2</v>
      </c>
      <c r="F15" s="10">
        <v>4.5900000000000003E-2</v>
      </c>
      <c r="G15" s="10">
        <v>5.3100000000000001E-2</v>
      </c>
      <c r="H15" s="10">
        <v>2.1899999999999999E-2</v>
      </c>
      <c r="I15" s="10">
        <v>2.1399999999999999E-2</v>
      </c>
      <c r="J15" s="10">
        <v>3.1699999999999999E-2</v>
      </c>
      <c r="K15" s="10">
        <v>2.3900000000000001E-2</v>
      </c>
      <c r="L15" s="10">
        <v>2.64E-2</v>
      </c>
      <c r="M15" s="10">
        <v>2.4400000000000002E-2</v>
      </c>
      <c r="N15" s="10">
        <v>2.2499999999999999E-2</v>
      </c>
      <c r="O15" s="10">
        <v>1.4999999999999999E-2</v>
      </c>
      <c r="P15" s="16">
        <v>2.9700000000000001E-2</v>
      </c>
      <c r="Q15" s="16">
        <v>2.8400000000000002E-2</v>
      </c>
      <c r="R15" s="16">
        <v>2.9399999999999999E-2</v>
      </c>
      <c r="S15" s="16">
        <v>3.2500000000000001E-2</v>
      </c>
      <c r="T15" s="16">
        <v>3.3599999999999998E-2</v>
      </c>
    </row>
    <row r="16" spans="1:20" ht="15" x14ac:dyDescent="0.25">
      <c r="A16" s="2" t="s">
        <v>106</v>
      </c>
      <c r="B16" s="2"/>
      <c r="C16" s="10">
        <v>6.0199999999999997E-2</v>
      </c>
      <c r="D16" s="10">
        <v>5.79E-2</v>
      </c>
      <c r="E16" s="10">
        <v>5.96E-2</v>
      </c>
      <c r="F16" s="10">
        <v>6.4100000000000004E-2</v>
      </c>
      <c r="G16" s="10">
        <v>5.4299999999999994E-2</v>
      </c>
      <c r="H16" s="10">
        <v>5.8200000000000002E-2</v>
      </c>
      <c r="I16" s="10">
        <v>5.4199999999999998E-2</v>
      </c>
      <c r="J16" s="10">
        <v>4.1399999999999999E-2</v>
      </c>
      <c r="K16" s="10">
        <v>3.5699999999999996E-2</v>
      </c>
      <c r="L16" s="10">
        <v>4.5499999999999999E-2</v>
      </c>
      <c r="M16" s="10">
        <v>3.7699999999999997E-2</v>
      </c>
      <c r="N16" s="10">
        <v>3.1600000000000003E-2</v>
      </c>
      <c r="O16" s="10">
        <v>2.86E-2</v>
      </c>
      <c r="P16" s="16">
        <v>2.87E-2</v>
      </c>
      <c r="Q16" s="16">
        <v>3.1699999999999999E-2</v>
      </c>
      <c r="R16" s="16">
        <v>3.7499999999999999E-2</v>
      </c>
      <c r="S16" s="16">
        <v>4.1299999999999996E-2</v>
      </c>
      <c r="T16" s="16">
        <v>4.2900000000000001E-2</v>
      </c>
    </row>
    <row r="18" spans="1:20" ht="15" x14ac:dyDescent="0.25">
      <c r="A18" s="2" t="s">
        <v>820</v>
      </c>
      <c r="C18" s="41">
        <v>757.79</v>
      </c>
      <c r="D18" s="41">
        <v>783.78</v>
      </c>
      <c r="E18" s="41">
        <v>832.3</v>
      </c>
      <c r="F18" s="41">
        <v>861.27</v>
      </c>
      <c r="G18" s="41">
        <v>905.51</v>
      </c>
      <c r="H18" s="41">
        <v>934.78</v>
      </c>
      <c r="I18" s="41">
        <v>967.96</v>
      </c>
      <c r="J18" s="41">
        <v>994.19</v>
      </c>
      <c r="K18" s="41">
        <v>1022.88</v>
      </c>
      <c r="L18" s="41">
        <v>1051.6400000000001</v>
      </c>
      <c r="M18" s="41">
        <v>1077.5</v>
      </c>
      <c r="N18" s="41">
        <v>1111.4000000000001</v>
      </c>
      <c r="O18" s="41">
        <v>1129.72</v>
      </c>
      <c r="P18" s="42">
        <v>1166.2</v>
      </c>
      <c r="Q18" s="42">
        <v>1198.77</v>
      </c>
      <c r="R18" s="42">
        <v>1233.78</v>
      </c>
      <c r="S18" s="42">
        <v>1272.98</v>
      </c>
      <c r="T18" s="42">
        <v>1314.69</v>
      </c>
    </row>
    <row r="19" spans="1:20" ht="15" x14ac:dyDescent="0.25">
      <c r="A19" s="2" t="s">
        <v>463</v>
      </c>
      <c r="C19" s="41">
        <v>597.66999999999996</v>
      </c>
      <c r="D19" s="41">
        <v>614.05999999999995</v>
      </c>
      <c r="E19" s="41">
        <v>645.82000000000005</v>
      </c>
      <c r="F19" s="41">
        <v>664.02</v>
      </c>
      <c r="G19" s="41">
        <v>723.19</v>
      </c>
      <c r="H19" s="41">
        <v>741.53</v>
      </c>
      <c r="I19" s="41">
        <v>792.36</v>
      </c>
      <c r="J19" s="41">
        <v>813.32</v>
      </c>
      <c r="K19" s="41">
        <v>833.14</v>
      </c>
      <c r="L19" s="41">
        <v>855.33</v>
      </c>
      <c r="M19" s="41">
        <v>873.01</v>
      </c>
      <c r="N19" s="41">
        <v>896.89</v>
      </c>
      <c r="O19" s="41">
        <v>909.56</v>
      </c>
      <c r="P19" s="42">
        <v>934.42</v>
      </c>
      <c r="Q19" s="42">
        <v>956.95</v>
      </c>
      <c r="R19" s="42">
        <v>980.97</v>
      </c>
      <c r="S19" s="42">
        <v>1007.93</v>
      </c>
      <c r="T19" s="42">
        <v>1036.46</v>
      </c>
    </row>
    <row r="20" spans="1:20" ht="15" x14ac:dyDescent="0.25">
      <c r="A20" s="2" t="s">
        <v>464</v>
      </c>
      <c r="C20" s="41">
        <v>235.16</v>
      </c>
      <c r="D20" s="41">
        <v>243.06</v>
      </c>
      <c r="E20" s="41">
        <v>255.7</v>
      </c>
      <c r="F20" s="41">
        <v>264.37</v>
      </c>
      <c r="G20" s="41">
        <v>273.63</v>
      </c>
      <c r="H20" s="41">
        <v>280.62</v>
      </c>
      <c r="I20" s="41">
        <v>294.08000000000004</v>
      </c>
      <c r="J20" s="41">
        <v>302.39999999999998</v>
      </c>
      <c r="K20" s="41">
        <v>310.33999999999997</v>
      </c>
      <c r="L20" s="41">
        <v>319.23</v>
      </c>
      <c r="M20" s="41">
        <v>326.3</v>
      </c>
      <c r="N20" s="41">
        <v>335.74</v>
      </c>
      <c r="O20" s="41">
        <v>340.8</v>
      </c>
      <c r="P20" s="42">
        <v>350.76</v>
      </c>
      <c r="Q20" s="42">
        <v>359.76</v>
      </c>
      <c r="R20" s="42">
        <v>369.44</v>
      </c>
      <c r="S20" s="42">
        <v>380.27</v>
      </c>
      <c r="T20" s="42">
        <v>391.6</v>
      </c>
    </row>
    <row r="21" spans="1:20" ht="15" x14ac:dyDescent="0.25">
      <c r="A21" s="2" t="s">
        <v>467</v>
      </c>
      <c r="C21" s="41">
        <v>196.78</v>
      </c>
      <c r="D21" s="41">
        <v>203</v>
      </c>
      <c r="E21" s="41">
        <v>213.12</v>
      </c>
      <c r="F21" s="41">
        <v>219.9</v>
      </c>
      <c r="G21" s="41">
        <v>239.19</v>
      </c>
      <c r="H21" s="41">
        <v>244.71</v>
      </c>
      <c r="I21" s="41">
        <v>261.48</v>
      </c>
      <c r="J21" s="41">
        <v>268.39999999999998</v>
      </c>
      <c r="K21" s="41">
        <v>274.94</v>
      </c>
      <c r="L21" s="41">
        <v>282.26</v>
      </c>
      <c r="M21" s="41">
        <v>288.10000000000002</v>
      </c>
      <c r="N21" s="41">
        <v>295.97000000000003</v>
      </c>
      <c r="O21" s="41">
        <v>300.14999999999998</v>
      </c>
      <c r="P21" s="42">
        <v>308.36</v>
      </c>
      <c r="Q21" s="42">
        <v>315.79000000000002</v>
      </c>
      <c r="R21" s="42">
        <v>323.72000000000003</v>
      </c>
      <c r="S21" s="42">
        <v>332.62</v>
      </c>
      <c r="T21" s="42">
        <v>342.03</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4"/>
  <sheetViews>
    <sheetView zoomScaleNormal="100" workbookViewId="0">
      <pane xSplit="2" ySplit="7" topLeftCell="C276" activePane="bottomRight" state="frozen"/>
      <selection pane="topRight" activeCell="C1" sqref="C1"/>
      <selection pane="bottomLeft" activeCell="A8" sqref="A8"/>
      <selection pane="bottomRight" activeCell="A287" sqref="A287"/>
    </sheetView>
  </sheetViews>
  <sheetFormatPr defaultRowHeight="14.25" x14ac:dyDescent="0.2"/>
  <cols>
    <col min="1" max="1" width="90.7109375" style="1" customWidth="1"/>
    <col min="2" max="2" width="7.7109375" style="1" customWidth="1"/>
    <col min="3" max="11" width="10.7109375" style="1" customWidth="1"/>
    <col min="12" max="16384" width="9.140625" style="1"/>
  </cols>
  <sheetData>
    <row r="1" spans="1:11" ht="15" x14ac:dyDescent="0.25">
      <c r="A1" s="2" t="s">
        <v>137</v>
      </c>
      <c r="B1" s="2"/>
    </row>
    <row r="2" spans="1:11" x14ac:dyDescent="0.2">
      <c r="A2" s="4" t="s">
        <v>848</v>
      </c>
    </row>
    <row r="3" spans="1:11" x14ac:dyDescent="0.2">
      <c r="A3" s="4" t="s">
        <v>139</v>
      </c>
    </row>
    <row r="4" spans="1:11" x14ac:dyDescent="0.2">
      <c r="A4" s="4" t="s">
        <v>140</v>
      </c>
    </row>
    <row r="5" spans="1:11" ht="15" x14ac:dyDescent="0.25">
      <c r="A5" s="4" t="s">
        <v>118</v>
      </c>
      <c r="G5" s="32" t="s">
        <v>1307</v>
      </c>
    </row>
    <row r="6" spans="1:11" ht="15" x14ac:dyDescent="0.25">
      <c r="A6" s="2" t="s">
        <v>11</v>
      </c>
      <c r="B6" s="2"/>
      <c r="D6" s="5" t="s">
        <v>21</v>
      </c>
      <c r="E6" s="5" t="s">
        <v>23</v>
      </c>
      <c r="F6" s="5" t="s">
        <v>24</v>
      </c>
      <c r="G6" s="31" t="s">
        <v>25</v>
      </c>
      <c r="H6" s="31" t="s">
        <v>26</v>
      </c>
      <c r="I6" s="31" t="s">
        <v>27</v>
      </c>
      <c r="J6" s="31" t="s">
        <v>28</v>
      </c>
      <c r="K6" s="31" t="s">
        <v>29</v>
      </c>
    </row>
    <row r="7" spans="1:11" ht="15" x14ac:dyDescent="0.25">
      <c r="D7" s="2">
        <v>2015</v>
      </c>
      <c r="E7" s="2">
        <v>2016</v>
      </c>
      <c r="F7" s="2">
        <v>2017</v>
      </c>
      <c r="G7" s="32">
        <v>2018</v>
      </c>
      <c r="H7" s="32">
        <v>2019</v>
      </c>
      <c r="I7" s="32">
        <v>2020</v>
      </c>
      <c r="J7" s="32">
        <v>2021</v>
      </c>
      <c r="K7" s="32">
        <v>2022</v>
      </c>
    </row>
    <row r="8" spans="1:11" ht="15" x14ac:dyDescent="0.25">
      <c r="A8" s="2" t="s">
        <v>138</v>
      </c>
      <c r="B8" s="2"/>
      <c r="C8" s="93"/>
      <c r="D8" s="93"/>
      <c r="E8" s="93"/>
      <c r="F8" s="93"/>
      <c r="G8" s="94"/>
      <c r="H8" s="94"/>
      <c r="I8" s="94"/>
      <c r="J8" s="94"/>
      <c r="K8" s="94"/>
    </row>
    <row r="9" spans="1:11" x14ac:dyDescent="0.2">
      <c r="A9" s="1" t="s">
        <v>141</v>
      </c>
      <c r="B9" s="1" t="s">
        <v>423</v>
      </c>
      <c r="C9" s="96"/>
      <c r="D9" s="96">
        <v>66.055000000000007</v>
      </c>
      <c r="E9" s="96">
        <v>69.668000000000006</v>
      </c>
      <c r="F9" s="96">
        <v>74.972999999999999</v>
      </c>
      <c r="G9" s="92">
        <v>78.825000000000003</v>
      </c>
      <c r="H9" s="92">
        <v>83.241</v>
      </c>
      <c r="I9" s="92">
        <v>88.186999999999998</v>
      </c>
      <c r="J9" s="92">
        <v>93.02</v>
      </c>
      <c r="K9" s="92">
        <v>98.046999999999997</v>
      </c>
    </row>
    <row r="10" spans="1:11" x14ac:dyDescent="0.2">
      <c r="A10" s="1" t="s">
        <v>142</v>
      </c>
      <c r="B10" s="1" t="str">
        <f>$B$9</f>
        <v>NAC</v>
      </c>
      <c r="C10" s="96"/>
      <c r="D10" s="96">
        <v>4.9530000000000003</v>
      </c>
      <c r="E10" s="96">
        <v>4.6429999999999998</v>
      </c>
      <c r="F10" s="96">
        <v>5.0810000000000004</v>
      </c>
      <c r="G10" s="92">
        <v>5.24</v>
      </c>
      <c r="H10" s="92">
        <v>5.633</v>
      </c>
      <c r="I10" s="92">
        <v>6.1059999999999999</v>
      </c>
      <c r="J10" s="92">
        <v>6.3730000000000002</v>
      </c>
      <c r="K10" s="92">
        <v>6.6779999999999999</v>
      </c>
    </row>
    <row r="11" spans="1:11" x14ac:dyDescent="0.2">
      <c r="A11" s="1" t="s">
        <v>143</v>
      </c>
      <c r="B11" s="1" t="s">
        <v>343</v>
      </c>
      <c r="C11" s="96"/>
      <c r="D11" s="96">
        <v>16.866</v>
      </c>
      <c r="E11" s="96">
        <v>16.364000000000001</v>
      </c>
      <c r="F11" s="96">
        <v>16.870999999999999</v>
      </c>
      <c r="G11" s="92">
        <v>18.477</v>
      </c>
      <c r="H11" s="92">
        <v>19.236999999999998</v>
      </c>
      <c r="I11" s="92">
        <v>19.765000000000001</v>
      </c>
      <c r="J11" s="92">
        <v>20.263000000000002</v>
      </c>
      <c r="K11" s="92">
        <v>20.747</v>
      </c>
    </row>
    <row r="12" spans="1:11" x14ac:dyDescent="0.2">
      <c r="A12" s="1" t="s">
        <v>1245</v>
      </c>
      <c r="B12" s="1" t="str">
        <f>$B$9</f>
        <v>NAC</v>
      </c>
      <c r="C12" s="96"/>
      <c r="D12" s="96">
        <v>2.802</v>
      </c>
      <c r="E12" s="96">
        <v>2.7879999999999998</v>
      </c>
      <c r="F12" s="96">
        <v>2.7269999999999999</v>
      </c>
      <c r="G12" s="92">
        <v>2.74</v>
      </c>
      <c r="H12" s="92">
        <v>2.9660000000000002</v>
      </c>
      <c r="I12" s="92">
        <v>3.01</v>
      </c>
      <c r="J12" s="92">
        <v>3.2</v>
      </c>
      <c r="K12" s="92">
        <v>3.1520000000000001</v>
      </c>
    </row>
    <row r="13" spans="1:11" x14ac:dyDescent="0.2">
      <c r="A13" s="1" t="s">
        <v>144</v>
      </c>
      <c r="B13" s="1" t="str">
        <f>$B$11</f>
        <v>UIM</v>
      </c>
      <c r="C13" s="96"/>
      <c r="D13" s="96">
        <v>4.3369999999999997</v>
      </c>
      <c r="E13" s="96">
        <v>4.6959999999999997</v>
      </c>
      <c r="F13" s="96">
        <v>4.5750000000000002</v>
      </c>
      <c r="G13" s="92">
        <v>4.806</v>
      </c>
      <c r="H13" s="92">
        <v>5.0880000000000001</v>
      </c>
      <c r="I13" s="92">
        <v>5.5019999999999998</v>
      </c>
      <c r="J13" s="92">
        <v>5.6890000000000001</v>
      </c>
      <c r="K13" s="92">
        <v>5.8040000000000003</v>
      </c>
    </row>
    <row r="14" spans="1:11" ht="15" x14ac:dyDescent="0.25">
      <c r="A14" s="26" t="s">
        <v>145</v>
      </c>
      <c r="B14" s="2"/>
      <c r="C14" s="96"/>
      <c r="D14" s="97">
        <f t="shared" ref="D14:K14" si="0">SUM(D$9:D$13)</f>
        <v>95.013000000000019</v>
      </c>
      <c r="E14" s="97">
        <f t="shared" si="0"/>
        <v>98.159000000000006</v>
      </c>
      <c r="F14" s="97">
        <f t="shared" si="0"/>
        <v>104.227</v>
      </c>
      <c r="G14" s="98">
        <f t="shared" si="0"/>
        <v>110.08799999999999</v>
      </c>
      <c r="H14" s="98">
        <f t="shared" si="0"/>
        <v>116.16499999999998</v>
      </c>
      <c r="I14" s="98">
        <f t="shared" si="0"/>
        <v>122.57</v>
      </c>
      <c r="J14" s="98">
        <f t="shared" si="0"/>
        <v>128.54500000000002</v>
      </c>
      <c r="K14" s="98">
        <f t="shared" si="0"/>
        <v>134.428</v>
      </c>
    </row>
    <row r="15" spans="1:11" x14ac:dyDescent="0.2">
      <c r="A15" s="1" t="s">
        <v>146</v>
      </c>
      <c r="B15" s="1" t="str">
        <f t="shared" ref="B15:B20" si="1">$B$9</f>
        <v>NAC</v>
      </c>
      <c r="C15" s="96"/>
      <c r="D15" s="96">
        <v>23.722999999999999</v>
      </c>
      <c r="E15" s="96">
        <v>24.312000000000001</v>
      </c>
      <c r="F15" s="96">
        <v>25.263999999999999</v>
      </c>
      <c r="G15" s="92">
        <v>26.391999999999999</v>
      </c>
      <c r="H15" s="92">
        <v>29.262</v>
      </c>
      <c r="I15" s="92">
        <v>30.376999999999999</v>
      </c>
      <c r="J15" s="92">
        <v>31.617000000000001</v>
      </c>
      <c r="K15" s="92">
        <v>33.033999999999999</v>
      </c>
    </row>
    <row r="16" spans="1:11" x14ac:dyDescent="0.2">
      <c r="A16" s="1" t="s">
        <v>147</v>
      </c>
      <c r="B16" s="1" t="str">
        <f t="shared" si="1"/>
        <v>NAC</v>
      </c>
      <c r="C16" s="96"/>
      <c r="D16" s="96">
        <v>21.123999999999999</v>
      </c>
      <c r="E16" s="96">
        <v>21.763000000000002</v>
      </c>
      <c r="F16" s="96">
        <v>22.599</v>
      </c>
      <c r="G16" s="92">
        <v>23.669</v>
      </c>
      <c r="H16" s="92">
        <v>24.369</v>
      </c>
      <c r="I16" s="92">
        <v>24.57</v>
      </c>
      <c r="J16" s="92">
        <v>25.058</v>
      </c>
      <c r="K16" s="92">
        <v>25.119</v>
      </c>
    </row>
    <row r="17" spans="1:11" x14ac:dyDescent="0.2">
      <c r="A17" s="1" t="s">
        <v>1246</v>
      </c>
      <c r="B17" s="1" t="str">
        <f t="shared" si="1"/>
        <v>NAC</v>
      </c>
      <c r="C17" s="96"/>
      <c r="D17" s="96">
        <v>4.0449999999999999</v>
      </c>
      <c r="E17" s="96">
        <v>4.1669999999999998</v>
      </c>
      <c r="F17" s="96">
        <v>4.3609999999999998</v>
      </c>
      <c r="G17" s="92">
        <v>4.7770000000000001</v>
      </c>
      <c r="H17" s="92">
        <v>4.84</v>
      </c>
      <c r="I17" s="92">
        <v>4.8499999999999996</v>
      </c>
      <c r="J17" s="92">
        <v>4.9210000000000003</v>
      </c>
      <c r="K17" s="92">
        <v>4.9829999999999997</v>
      </c>
    </row>
    <row r="18" spans="1:11" x14ac:dyDescent="0.2">
      <c r="A18" s="1" t="s">
        <v>148</v>
      </c>
      <c r="B18" s="1" t="str">
        <f t="shared" si="1"/>
        <v>NAC</v>
      </c>
      <c r="C18" s="96"/>
      <c r="D18" s="96">
        <v>36.707000000000001</v>
      </c>
      <c r="E18" s="96">
        <v>36.576999999999998</v>
      </c>
      <c r="F18" s="96">
        <v>38.008000000000003</v>
      </c>
      <c r="G18" s="92">
        <v>42.83</v>
      </c>
      <c r="H18" s="92">
        <v>44.975999999999999</v>
      </c>
      <c r="I18" s="92">
        <v>44.604999999999997</v>
      </c>
      <c r="J18" s="92">
        <v>45.149000000000001</v>
      </c>
      <c r="K18" s="92">
        <v>45.146999999999998</v>
      </c>
    </row>
    <row r="19" spans="1:11" x14ac:dyDescent="0.2">
      <c r="A19" s="1" t="s">
        <v>149</v>
      </c>
      <c r="B19" s="1" t="str">
        <f t="shared" si="1"/>
        <v>NAC</v>
      </c>
      <c r="C19" s="96"/>
      <c r="D19" s="96">
        <v>4.5629999999999997</v>
      </c>
      <c r="E19" s="96">
        <v>4.3360000000000003</v>
      </c>
      <c r="F19" s="96">
        <v>4.1619999999999999</v>
      </c>
      <c r="G19" s="92">
        <v>4.1210000000000004</v>
      </c>
      <c r="H19" s="92">
        <v>4.0449999999999999</v>
      </c>
      <c r="I19" s="92">
        <v>4.0449999999999999</v>
      </c>
      <c r="J19" s="92">
        <v>4.2309999999999999</v>
      </c>
      <c r="K19" s="92">
        <v>4.0510000000000002</v>
      </c>
    </row>
    <row r="20" spans="1:11" x14ac:dyDescent="0.2">
      <c r="A20" s="1" t="s">
        <v>150</v>
      </c>
      <c r="B20" s="1" t="str">
        <f t="shared" si="1"/>
        <v>NAC</v>
      </c>
      <c r="C20" s="96"/>
      <c r="D20" s="96">
        <v>4.1100000000000003</v>
      </c>
      <c r="E20" s="96">
        <v>4.7249999999999996</v>
      </c>
      <c r="F20" s="96">
        <v>5.4180000000000001</v>
      </c>
      <c r="G20" s="92">
        <v>4.84</v>
      </c>
      <c r="H20" s="92">
        <v>4.8769999999999998</v>
      </c>
      <c r="I20" s="92">
        <v>5.49</v>
      </c>
      <c r="J20" s="92">
        <v>5.984</v>
      </c>
      <c r="K20" s="92">
        <v>6.4269999999999996</v>
      </c>
    </row>
    <row r="21" spans="1:11" x14ac:dyDescent="0.2">
      <c r="A21" s="1" t="s">
        <v>151</v>
      </c>
      <c r="B21" s="1" t="str">
        <f>$B$11</f>
        <v>UIM</v>
      </c>
      <c r="C21" s="96"/>
      <c r="D21" s="96">
        <v>0</v>
      </c>
      <c r="E21" s="96">
        <v>0</v>
      </c>
      <c r="F21" s="96">
        <v>0</v>
      </c>
      <c r="G21" s="92">
        <v>0.186</v>
      </c>
      <c r="H21" s="92">
        <v>0.76</v>
      </c>
      <c r="I21" s="92">
        <v>3.07</v>
      </c>
      <c r="J21" s="92">
        <v>5.6859999999999999</v>
      </c>
      <c r="K21" s="92">
        <v>8.1289999999999996</v>
      </c>
    </row>
    <row r="22" spans="1:11" x14ac:dyDescent="0.2">
      <c r="A22" s="1" t="s">
        <v>152</v>
      </c>
      <c r="B22" s="1" t="str">
        <f>$B$11</f>
        <v>UIM</v>
      </c>
      <c r="C22" s="96"/>
      <c r="D22" s="96">
        <v>0</v>
      </c>
      <c r="E22" s="96">
        <v>0</v>
      </c>
      <c r="F22" s="96">
        <v>0</v>
      </c>
      <c r="G22" s="92">
        <v>-0.3</v>
      </c>
      <c r="H22" s="92">
        <v>-1.145</v>
      </c>
      <c r="I22" s="92">
        <v>-0.32500000000000001</v>
      </c>
      <c r="J22" s="92">
        <v>-0.32500000000000001</v>
      </c>
      <c r="K22" s="92">
        <v>-0.27500000000000002</v>
      </c>
    </row>
    <row r="23" spans="1:11" ht="15" x14ac:dyDescent="0.25">
      <c r="A23" s="26" t="s">
        <v>153</v>
      </c>
      <c r="C23" s="96"/>
      <c r="D23" s="97">
        <f t="shared" ref="D23:K23" si="2">SUM(D$15:D$22)</f>
        <v>94.271999999999991</v>
      </c>
      <c r="E23" s="97">
        <f t="shared" si="2"/>
        <v>95.88</v>
      </c>
      <c r="F23" s="97">
        <f t="shared" si="2"/>
        <v>99.812000000000012</v>
      </c>
      <c r="G23" s="98">
        <f t="shared" si="2"/>
        <v>106.51500000000001</v>
      </c>
      <c r="H23" s="98">
        <f t="shared" si="2"/>
        <v>111.98400000000001</v>
      </c>
      <c r="I23" s="98">
        <f t="shared" si="2"/>
        <v>116.68199999999999</v>
      </c>
      <c r="J23" s="98">
        <f t="shared" si="2"/>
        <v>122.32099999999998</v>
      </c>
      <c r="K23" s="98">
        <f t="shared" si="2"/>
        <v>126.61499999999999</v>
      </c>
    </row>
    <row r="24" spans="1:11" x14ac:dyDescent="0.2">
      <c r="A24" s="1" t="s">
        <v>1247</v>
      </c>
      <c r="B24" s="1" t="str">
        <f>$B$11</f>
        <v>UIM</v>
      </c>
      <c r="C24" s="96"/>
      <c r="D24" s="96">
        <v>0.32700000000000001</v>
      </c>
      <c r="E24" s="96">
        <v>0.44800000000000001</v>
      </c>
      <c r="F24" s="96">
        <v>0.34599999999999997</v>
      </c>
      <c r="G24" s="92">
        <v>0.432</v>
      </c>
      <c r="H24" s="92">
        <v>0.44400000000000001</v>
      </c>
      <c r="I24" s="92">
        <v>0.46800000000000003</v>
      </c>
      <c r="J24" s="92">
        <v>0.503</v>
      </c>
      <c r="K24" s="92">
        <v>0.501</v>
      </c>
    </row>
    <row r="25" spans="1:11" ht="15" x14ac:dyDescent="0.25">
      <c r="A25" s="26" t="s">
        <v>316</v>
      </c>
      <c r="C25" s="96"/>
      <c r="D25" s="97">
        <f t="shared" ref="D25:K25" si="3">D$14-D$23-D$24</f>
        <v>0.41400000000002807</v>
      </c>
      <c r="E25" s="97">
        <f t="shared" si="3"/>
        <v>1.8310000000000106</v>
      </c>
      <c r="F25" s="97">
        <f t="shared" si="3"/>
        <v>4.068999999999992</v>
      </c>
      <c r="G25" s="98">
        <f t="shared" si="3"/>
        <v>3.1409999999999791</v>
      </c>
      <c r="H25" s="98">
        <f t="shared" si="3"/>
        <v>3.736999999999969</v>
      </c>
      <c r="I25" s="98">
        <f t="shared" si="3"/>
        <v>5.4200000000000053</v>
      </c>
      <c r="J25" s="98">
        <f t="shared" si="3"/>
        <v>5.7210000000000321</v>
      </c>
      <c r="K25" s="98">
        <f t="shared" si="3"/>
        <v>7.3120000000000021</v>
      </c>
    </row>
    <row r="26" spans="1:11" x14ac:dyDescent="0.2">
      <c r="A26" s="1" t="s">
        <v>154</v>
      </c>
      <c r="B26" s="1" t="str">
        <f>$B$11</f>
        <v>UIM</v>
      </c>
      <c r="C26" s="96"/>
      <c r="D26" s="96">
        <v>6.1959999999999997</v>
      </c>
      <c r="E26" s="96">
        <v>1.117</v>
      </c>
      <c r="F26" s="96">
        <v>6.33</v>
      </c>
      <c r="G26" s="92">
        <v>5.2510000000000003</v>
      </c>
      <c r="H26" s="92">
        <v>2.887</v>
      </c>
      <c r="I26" s="92">
        <v>3.2149999999999999</v>
      </c>
      <c r="J26" s="92">
        <v>3.6269999999999998</v>
      </c>
      <c r="K26" s="92">
        <v>4.117</v>
      </c>
    </row>
    <row r="27" spans="1:11" x14ac:dyDescent="0.2">
      <c r="A27" s="1" t="s">
        <v>155</v>
      </c>
      <c r="B27" s="1" t="str">
        <f>$B$11</f>
        <v>UIM</v>
      </c>
      <c r="C27" s="96"/>
      <c r="D27" s="96">
        <v>-1.649</v>
      </c>
      <c r="E27" s="96">
        <v>-8.6359999999999992</v>
      </c>
      <c r="F27" s="96">
        <v>1.321</v>
      </c>
      <c r="G27" s="92">
        <v>-1.579</v>
      </c>
      <c r="H27" s="92">
        <v>-8.3000000000000004E-2</v>
      </c>
      <c r="I27" s="92">
        <v>-0.08</v>
      </c>
      <c r="J27" s="92">
        <v>-7.6999999999999999E-2</v>
      </c>
      <c r="K27" s="92">
        <v>-0.08</v>
      </c>
    </row>
    <row r="28" spans="1:11" x14ac:dyDescent="0.2">
      <c r="A28" s="1" t="s">
        <v>639</v>
      </c>
      <c r="B28" s="1" t="str">
        <f>$B$11</f>
        <v>UIM</v>
      </c>
      <c r="C28" s="96"/>
      <c r="D28" s="96">
        <v>0.218</v>
      </c>
      <c r="E28" s="96">
        <v>-1.2E-2</v>
      </c>
      <c r="F28" s="96">
        <v>-2.7E-2</v>
      </c>
      <c r="G28" s="92">
        <v>1.7000000000000001E-2</v>
      </c>
      <c r="H28" s="92">
        <v>1.7000000000000001E-2</v>
      </c>
      <c r="I28" s="92">
        <v>1E-3</v>
      </c>
      <c r="J28" s="92">
        <v>2E-3</v>
      </c>
      <c r="K28" s="92">
        <v>4.0000000000000001E-3</v>
      </c>
    </row>
    <row r="29" spans="1:11" ht="15" x14ac:dyDescent="0.25">
      <c r="A29" s="26" t="s">
        <v>1248</v>
      </c>
      <c r="C29" s="96"/>
      <c r="D29" s="97">
        <f>D$26+D$27-D$28</f>
        <v>4.3289999999999997</v>
      </c>
      <c r="E29" s="97">
        <f t="shared" ref="E29:K29" si="4">E$26+E$27-E$28</f>
        <v>-7.5069999999999997</v>
      </c>
      <c r="F29" s="97">
        <f t="shared" si="4"/>
        <v>7.6779999999999999</v>
      </c>
      <c r="G29" s="98">
        <f t="shared" si="4"/>
        <v>3.6550000000000007</v>
      </c>
      <c r="H29" s="98">
        <f t="shared" si="4"/>
        <v>2.7869999999999999</v>
      </c>
      <c r="I29" s="98">
        <f t="shared" si="4"/>
        <v>3.1339999999999999</v>
      </c>
      <c r="J29" s="98">
        <f t="shared" si="4"/>
        <v>3.548</v>
      </c>
      <c r="K29" s="98">
        <f t="shared" si="4"/>
        <v>4.0330000000000004</v>
      </c>
    </row>
    <row r="30" spans="1:11" x14ac:dyDescent="0.2">
      <c r="A30" s="1" t="s">
        <v>261</v>
      </c>
      <c r="B30" s="1" t="str">
        <f>$B$11</f>
        <v>UIM</v>
      </c>
      <c r="C30" s="96"/>
      <c r="D30" s="96">
        <v>1.028</v>
      </c>
      <c r="E30" s="96">
        <v>0.307</v>
      </c>
      <c r="F30" s="96">
        <v>0.56999999999999995</v>
      </c>
      <c r="G30" s="92">
        <v>0.20100000000000001</v>
      </c>
      <c r="H30" s="92">
        <v>0.249</v>
      </c>
      <c r="I30" s="92">
        <v>0.28299999999999997</v>
      </c>
      <c r="J30" s="92">
        <v>0.29799999999999999</v>
      </c>
      <c r="K30" s="92">
        <v>0.307</v>
      </c>
    </row>
    <row r="31" spans="1:11" ht="15" x14ac:dyDescent="0.25">
      <c r="A31" s="26" t="s">
        <v>317</v>
      </c>
      <c r="B31" s="1" t="str">
        <f>$B$9</f>
        <v>NAC</v>
      </c>
      <c r="C31" s="96"/>
      <c r="D31" s="99">
        <v>5.7709999999999999</v>
      </c>
      <c r="E31" s="99">
        <v>-5.3689999999999998</v>
      </c>
      <c r="F31" s="99">
        <v>12.317</v>
      </c>
      <c r="G31" s="100">
        <v>6.9969999999999999</v>
      </c>
      <c r="H31" s="100">
        <v>6.7729999999999997</v>
      </c>
      <c r="I31" s="100">
        <v>8.8369999999999997</v>
      </c>
      <c r="J31" s="100">
        <v>9.5670000000000002</v>
      </c>
      <c r="K31" s="100">
        <v>11.651999999999999</v>
      </c>
    </row>
    <row r="32" spans="1:11" ht="15" x14ac:dyDescent="0.25">
      <c r="A32" s="26" t="s">
        <v>318</v>
      </c>
      <c r="B32" s="28"/>
      <c r="C32" s="96"/>
      <c r="D32" s="101" t="str">
        <f t="shared" ref="D32:K32" si="5">IF(ROUND(D$31-(D$25+D$29+D$30),3)=0,"OK","ERROR")</f>
        <v>OK</v>
      </c>
      <c r="E32" s="101" t="str">
        <f t="shared" si="5"/>
        <v>OK</v>
      </c>
      <c r="F32" s="101" t="str">
        <f t="shared" si="5"/>
        <v>OK</v>
      </c>
      <c r="G32" s="102" t="str">
        <f t="shared" si="5"/>
        <v>OK</v>
      </c>
      <c r="H32" s="102" t="str">
        <f t="shared" si="5"/>
        <v>OK</v>
      </c>
      <c r="I32" s="102" t="str">
        <f t="shared" si="5"/>
        <v>OK</v>
      </c>
      <c r="J32" s="102" t="str">
        <f t="shared" si="5"/>
        <v>OK</v>
      </c>
      <c r="K32" s="102" t="str">
        <f t="shared" si="5"/>
        <v>OK</v>
      </c>
    </row>
    <row r="33" spans="1:11" ht="15" x14ac:dyDescent="0.25">
      <c r="A33" s="26" t="s">
        <v>315</v>
      </c>
      <c r="B33" s="28"/>
      <c r="C33" s="96"/>
      <c r="D33" s="99">
        <f t="shared" ref="D33:F33" si="6">SUM(D$24,D$28,D$31)</f>
        <v>6.3159999999999998</v>
      </c>
      <c r="E33" s="99">
        <f t="shared" si="6"/>
        <v>-4.9329999999999998</v>
      </c>
      <c r="F33" s="99">
        <f t="shared" si="6"/>
        <v>12.635999999999999</v>
      </c>
      <c r="G33" s="100">
        <v>7.4459999999999997</v>
      </c>
      <c r="H33" s="100">
        <v>7.234</v>
      </c>
      <c r="I33" s="100">
        <v>9.3059999999999992</v>
      </c>
      <c r="J33" s="100">
        <v>10.071999999999999</v>
      </c>
      <c r="K33" s="100">
        <v>12.157</v>
      </c>
    </row>
    <row r="34" spans="1:11" ht="15" x14ac:dyDescent="0.25">
      <c r="A34" s="26" t="s">
        <v>157</v>
      </c>
      <c r="C34" s="96"/>
      <c r="D34" s="96"/>
      <c r="E34" s="96"/>
      <c r="F34" s="96"/>
      <c r="G34" s="96"/>
      <c r="H34" s="96"/>
      <c r="I34" s="96"/>
      <c r="J34" s="96"/>
      <c r="K34" s="96"/>
    </row>
    <row r="35" spans="1:11" x14ac:dyDescent="0.2">
      <c r="A35" s="1" t="s">
        <v>158</v>
      </c>
      <c r="B35" s="1" t="str">
        <f t="shared" ref="B35:B48" si="7">$B$11</f>
        <v>UIM</v>
      </c>
      <c r="C35" s="96"/>
      <c r="D35" s="96">
        <v>28.231000000000002</v>
      </c>
      <c r="E35" s="96">
        <v>28.901</v>
      </c>
      <c r="F35" s="96">
        <v>30.599</v>
      </c>
      <c r="G35" s="92">
        <v>31.59</v>
      </c>
      <c r="H35" s="92">
        <v>34.527999999999999</v>
      </c>
      <c r="I35" s="92">
        <v>36.048999999999999</v>
      </c>
      <c r="J35" s="92">
        <v>37.639000000000003</v>
      </c>
      <c r="K35" s="92">
        <v>39.39</v>
      </c>
    </row>
    <row r="36" spans="1:11" x14ac:dyDescent="0.2">
      <c r="A36" s="1" t="s">
        <v>160</v>
      </c>
      <c r="B36" s="1" t="str">
        <f t="shared" si="7"/>
        <v>UIM</v>
      </c>
      <c r="C36" s="96"/>
      <c r="D36" s="96">
        <v>14.696</v>
      </c>
      <c r="E36" s="96">
        <v>15.16</v>
      </c>
      <c r="F36" s="96">
        <v>15.645</v>
      </c>
      <c r="G36" s="92">
        <v>16.786000000000001</v>
      </c>
      <c r="H36" s="92">
        <v>17.507000000000001</v>
      </c>
      <c r="I36" s="92">
        <v>17.542000000000002</v>
      </c>
      <c r="J36" s="92">
        <v>17.411999999999999</v>
      </c>
      <c r="K36" s="92">
        <v>17.501000000000001</v>
      </c>
    </row>
    <row r="37" spans="1:11" x14ac:dyDescent="0.2">
      <c r="A37" s="1" t="s">
        <v>161</v>
      </c>
      <c r="B37" s="1" t="str">
        <f t="shared" si="7"/>
        <v>UIM</v>
      </c>
      <c r="C37" s="96"/>
      <c r="D37" s="96">
        <v>13.537000000000001</v>
      </c>
      <c r="E37" s="96">
        <v>13.808999999999999</v>
      </c>
      <c r="F37" s="96">
        <v>14.112</v>
      </c>
      <c r="G37" s="92">
        <v>14.746</v>
      </c>
      <c r="H37" s="92">
        <v>15.509</v>
      </c>
      <c r="I37" s="92">
        <v>15.635999999999999</v>
      </c>
      <c r="J37" s="92">
        <v>15.954000000000001</v>
      </c>
      <c r="K37" s="92">
        <v>16.029</v>
      </c>
    </row>
    <row r="38" spans="1:11" x14ac:dyDescent="0.2">
      <c r="A38" s="1" t="s">
        <v>162</v>
      </c>
      <c r="B38" s="1" t="str">
        <f t="shared" si="7"/>
        <v>UIM</v>
      </c>
      <c r="C38" s="96"/>
      <c r="D38" s="96">
        <v>3.8980000000000001</v>
      </c>
      <c r="E38" s="96">
        <v>3.95</v>
      </c>
      <c r="F38" s="96">
        <v>3.762</v>
      </c>
      <c r="G38" s="92">
        <v>4.9349999999999996</v>
      </c>
      <c r="H38" s="92">
        <v>4.7549999999999999</v>
      </c>
      <c r="I38" s="92">
        <v>4.5650000000000004</v>
      </c>
      <c r="J38" s="92">
        <v>4.6479999999999997</v>
      </c>
      <c r="K38" s="92">
        <v>4.3959999999999999</v>
      </c>
    </row>
    <row r="39" spans="1:11" x14ac:dyDescent="0.2">
      <c r="A39" s="1" t="s">
        <v>163</v>
      </c>
      <c r="B39" s="1" t="str">
        <f t="shared" si="7"/>
        <v>UIM</v>
      </c>
      <c r="C39" s="96"/>
      <c r="D39" s="96">
        <v>3.73</v>
      </c>
      <c r="E39" s="96">
        <v>3.8940000000000001</v>
      </c>
      <c r="F39" s="96">
        <v>4.1609999999999996</v>
      </c>
      <c r="G39" s="92">
        <v>4.6020000000000003</v>
      </c>
      <c r="H39" s="92">
        <v>4.8159999999999998</v>
      </c>
      <c r="I39" s="92">
        <v>4.8730000000000002</v>
      </c>
      <c r="J39" s="92">
        <v>4.9489999999999998</v>
      </c>
      <c r="K39" s="92">
        <v>5.0199999999999996</v>
      </c>
    </row>
    <row r="40" spans="1:11" x14ac:dyDescent="0.2">
      <c r="A40" s="1" t="s">
        <v>165</v>
      </c>
      <c r="B40" s="1" t="str">
        <f t="shared" si="7"/>
        <v>UIM</v>
      </c>
      <c r="C40" s="96"/>
      <c r="D40" s="96">
        <v>9.2789999999999999</v>
      </c>
      <c r="E40" s="96">
        <v>9.4</v>
      </c>
      <c r="F40" s="96">
        <v>9.36</v>
      </c>
      <c r="G40" s="92">
        <v>10.167</v>
      </c>
      <c r="H40" s="92">
        <v>10.938000000000001</v>
      </c>
      <c r="I40" s="92">
        <v>11.003</v>
      </c>
      <c r="J40" s="92">
        <v>11.659000000000001</v>
      </c>
      <c r="K40" s="92">
        <v>11.654999999999999</v>
      </c>
    </row>
    <row r="41" spans="1:11" x14ac:dyDescent="0.2">
      <c r="A41" s="1" t="s">
        <v>166</v>
      </c>
      <c r="B41" s="1" t="str">
        <f t="shared" si="7"/>
        <v>UIM</v>
      </c>
      <c r="C41" s="96"/>
      <c r="D41" s="96">
        <v>8.2349999999999994</v>
      </c>
      <c r="E41" s="96">
        <v>7.4279999999999999</v>
      </c>
      <c r="F41" s="96">
        <v>8.452</v>
      </c>
      <c r="G41" s="92">
        <v>8.8309999999999995</v>
      </c>
      <c r="H41" s="92">
        <v>9.15</v>
      </c>
      <c r="I41" s="92">
        <v>9.3179999999999996</v>
      </c>
      <c r="J41" s="92">
        <v>9.3970000000000002</v>
      </c>
      <c r="K41" s="92">
        <v>9.6210000000000004</v>
      </c>
    </row>
    <row r="42" spans="1:11" x14ac:dyDescent="0.2">
      <c r="A42" s="1" t="s">
        <v>164</v>
      </c>
      <c r="B42" s="1" t="str">
        <f t="shared" si="7"/>
        <v>UIM</v>
      </c>
      <c r="C42" s="96"/>
      <c r="D42" s="96">
        <v>1.917</v>
      </c>
      <c r="E42" s="96">
        <v>2.0129999999999999</v>
      </c>
      <c r="F42" s="96">
        <v>2.145</v>
      </c>
      <c r="G42" s="92">
        <v>2.2549999999999999</v>
      </c>
      <c r="H42" s="92">
        <v>2.3660000000000001</v>
      </c>
      <c r="I42" s="92">
        <v>2.4430000000000001</v>
      </c>
      <c r="J42" s="92">
        <v>2.4529999999999998</v>
      </c>
      <c r="K42" s="92">
        <v>2.4590000000000001</v>
      </c>
    </row>
    <row r="43" spans="1:11" x14ac:dyDescent="0.2">
      <c r="A43" s="1" t="s">
        <v>168</v>
      </c>
      <c r="B43" s="1" t="str">
        <f t="shared" si="7"/>
        <v>UIM</v>
      </c>
      <c r="C43" s="96"/>
      <c r="D43" s="96">
        <v>2.198</v>
      </c>
      <c r="E43" s="96">
        <v>2.21</v>
      </c>
      <c r="F43" s="96">
        <v>2.4329999999999998</v>
      </c>
      <c r="G43" s="92">
        <v>2.5830000000000002</v>
      </c>
      <c r="H43" s="92">
        <v>2.6030000000000002</v>
      </c>
      <c r="I43" s="92">
        <v>2.6259999999999999</v>
      </c>
      <c r="J43" s="92">
        <v>2.6440000000000001</v>
      </c>
      <c r="K43" s="92">
        <v>2.7280000000000002</v>
      </c>
    </row>
    <row r="44" spans="1:11" x14ac:dyDescent="0.2">
      <c r="A44" s="1" t="s">
        <v>167</v>
      </c>
      <c r="B44" s="1" t="str">
        <f t="shared" si="7"/>
        <v>UIM</v>
      </c>
      <c r="C44" s="96"/>
      <c r="D44" s="96">
        <v>1.74</v>
      </c>
      <c r="E44" s="96">
        <v>1.8520000000000001</v>
      </c>
      <c r="F44" s="96">
        <v>1.8859999999999999</v>
      </c>
      <c r="G44" s="92">
        <v>2.1800000000000002</v>
      </c>
      <c r="H44" s="92">
        <v>2.09</v>
      </c>
      <c r="I44" s="92">
        <v>2.0750000000000002</v>
      </c>
      <c r="J44" s="92">
        <v>2.0369999999999999</v>
      </c>
      <c r="K44" s="92">
        <v>1.958</v>
      </c>
    </row>
    <row r="45" spans="1:11" x14ac:dyDescent="0.2">
      <c r="A45" s="1" t="s">
        <v>169</v>
      </c>
      <c r="B45" s="1" t="str">
        <f t="shared" si="7"/>
        <v>UIM</v>
      </c>
      <c r="C45" s="96"/>
      <c r="D45" s="96">
        <v>1.1140000000000001</v>
      </c>
      <c r="E45" s="96">
        <v>1.6</v>
      </c>
      <c r="F45" s="96">
        <v>1.82</v>
      </c>
      <c r="G45" s="92">
        <v>2.044</v>
      </c>
      <c r="H45" s="92">
        <v>2.3180000000000001</v>
      </c>
      <c r="I45" s="92">
        <v>2.149</v>
      </c>
      <c r="J45" s="92">
        <v>2.286</v>
      </c>
      <c r="K45" s="92">
        <v>2.2749999999999999</v>
      </c>
    </row>
    <row r="46" spans="1:11" x14ac:dyDescent="0.2">
      <c r="A46" s="1" t="s">
        <v>170</v>
      </c>
      <c r="B46" s="1" t="str">
        <f t="shared" si="7"/>
        <v>UIM</v>
      </c>
      <c r="C46" s="96"/>
      <c r="D46" s="96">
        <v>0.61599999999999999</v>
      </c>
      <c r="E46" s="96">
        <v>0.57999999999999996</v>
      </c>
      <c r="F46" s="96">
        <v>0.86299999999999999</v>
      </c>
      <c r="G46" s="92">
        <v>1.286</v>
      </c>
      <c r="H46" s="92">
        <v>1.0569999999999999</v>
      </c>
      <c r="I46" s="92">
        <v>1.1000000000000001</v>
      </c>
      <c r="J46" s="92">
        <v>1.109</v>
      </c>
      <c r="K46" s="92">
        <v>1.1080000000000001</v>
      </c>
    </row>
    <row r="47" spans="1:11" x14ac:dyDescent="0.2">
      <c r="A47" s="1" t="s">
        <v>159</v>
      </c>
      <c r="B47" s="1" t="str">
        <f t="shared" si="7"/>
        <v>UIM</v>
      </c>
      <c r="C47" s="96"/>
      <c r="D47" s="96">
        <v>0.373</v>
      </c>
      <c r="E47" s="96">
        <v>0.28599999999999998</v>
      </c>
      <c r="F47" s="96">
        <v>0.23100000000000001</v>
      </c>
      <c r="G47" s="92">
        <v>0.16300000000000001</v>
      </c>
      <c r="H47" s="92">
        <v>0.13500000000000001</v>
      </c>
      <c r="I47" s="92">
        <v>0.161</v>
      </c>
      <c r="J47" s="92">
        <v>0.19800000000000001</v>
      </c>
      <c r="K47" s="92">
        <v>0.22600000000000001</v>
      </c>
    </row>
    <row r="48" spans="1:11" x14ac:dyDescent="0.2">
      <c r="A48" s="1" t="s">
        <v>171</v>
      </c>
      <c r="B48" s="1" t="str">
        <f t="shared" si="7"/>
        <v>UIM</v>
      </c>
      <c r="C48" s="96"/>
      <c r="D48" s="96">
        <v>0.14499999999999999</v>
      </c>
      <c r="E48" s="96">
        <v>0.46100000000000002</v>
      </c>
      <c r="F48" s="96">
        <v>0.18099999999999999</v>
      </c>
      <c r="G48" s="92">
        <v>0.34</v>
      </c>
      <c r="H48" s="92">
        <v>0.55200000000000005</v>
      </c>
      <c r="I48" s="92">
        <v>0.35199999999999998</v>
      </c>
      <c r="J48" s="92">
        <v>0.34399999999999997</v>
      </c>
      <c r="K48" s="92">
        <v>0.34399999999999997</v>
      </c>
    </row>
    <row r="49" spans="1:11" x14ac:dyDescent="0.2">
      <c r="A49" s="1" t="s">
        <v>172</v>
      </c>
      <c r="B49" s="1" t="str">
        <f>$B$9</f>
        <v>NAC</v>
      </c>
      <c r="C49" s="96"/>
      <c r="D49" s="96">
        <v>4.5629999999999997</v>
      </c>
      <c r="E49" s="96">
        <v>4.3360000000000003</v>
      </c>
      <c r="F49" s="96">
        <v>4.1619999999999999</v>
      </c>
      <c r="G49" s="92">
        <v>4.1210000000000004</v>
      </c>
      <c r="H49" s="92">
        <v>4.0449999999999999</v>
      </c>
      <c r="I49" s="92">
        <v>4.0449999999999999</v>
      </c>
      <c r="J49" s="92">
        <v>4.2309999999999999</v>
      </c>
      <c r="K49" s="92">
        <v>4.0510000000000002</v>
      </c>
    </row>
    <row r="50" spans="1:11" ht="15" x14ac:dyDescent="0.25">
      <c r="A50" s="26" t="s">
        <v>1188</v>
      </c>
      <c r="C50" s="96"/>
      <c r="D50" s="97">
        <f t="shared" ref="D50:K50" si="8">SUM(D$21:D$22,D$35:D$49)</f>
        <v>94.271999999999991</v>
      </c>
      <c r="E50" s="97">
        <f t="shared" si="8"/>
        <v>95.88</v>
      </c>
      <c r="F50" s="97">
        <f t="shared" si="8"/>
        <v>99.811999999999969</v>
      </c>
      <c r="G50" s="98">
        <f t="shared" si="8"/>
        <v>106.515</v>
      </c>
      <c r="H50" s="98">
        <f t="shared" si="8"/>
        <v>111.98400000000002</v>
      </c>
      <c r="I50" s="98">
        <f t="shared" si="8"/>
        <v>116.682</v>
      </c>
      <c r="J50" s="98">
        <f t="shared" si="8"/>
        <v>122.321</v>
      </c>
      <c r="K50" s="98">
        <f t="shared" si="8"/>
        <v>126.61499999999999</v>
      </c>
    </row>
    <row r="51" spans="1:11" ht="15" x14ac:dyDescent="0.25">
      <c r="A51" s="26" t="s">
        <v>173</v>
      </c>
      <c r="C51" s="96"/>
      <c r="D51" s="96"/>
      <c r="E51" s="96"/>
      <c r="F51" s="96"/>
      <c r="G51" s="96"/>
      <c r="H51" s="96"/>
      <c r="I51" s="96"/>
      <c r="J51" s="96"/>
      <c r="K51" s="96"/>
    </row>
    <row r="52" spans="1:11" x14ac:dyDescent="0.2">
      <c r="A52" s="1" t="s">
        <v>158</v>
      </c>
      <c r="B52" s="1" t="str">
        <f t="shared" ref="B52:B65" si="9">$B$11</f>
        <v>UIM</v>
      </c>
      <c r="C52" s="96"/>
      <c r="D52" s="96">
        <v>23.523</v>
      </c>
      <c r="E52" s="96">
        <v>24.081</v>
      </c>
      <c r="F52" s="96">
        <v>25.294</v>
      </c>
      <c r="G52" s="92">
        <v>26.11</v>
      </c>
      <c r="H52" s="92">
        <v>28.949000000000002</v>
      </c>
      <c r="I52" s="92">
        <v>29.998999999999999</v>
      </c>
      <c r="J52" s="92">
        <v>31.169</v>
      </c>
      <c r="K52" s="92">
        <v>32.491999999999997</v>
      </c>
    </row>
    <row r="53" spans="1:11" x14ac:dyDescent="0.2">
      <c r="A53" s="1" t="s">
        <v>160</v>
      </c>
      <c r="B53" s="1" t="str">
        <f t="shared" si="9"/>
        <v>UIM</v>
      </c>
      <c r="C53" s="96"/>
      <c r="D53" s="96">
        <v>15.058</v>
      </c>
      <c r="E53" s="96">
        <v>15.625999999999999</v>
      </c>
      <c r="F53" s="96">
        <v>16.222999999999999</v>
      </c>
      <c r="G53" s="92">
        <v>17.184999999999999</v>
      </c>
      <c r="H53" s="92">
        <v>18.071000000000002</v>
      </c>
      <c r="I53" s="92">
        <v>18.081</v>
      </c>
      <c r="J53" s="92">
        <v>17.988</v>
      </c>
      <c r="K53" s="92">
        <v>18.091999999999999</v>
      </c>
    </row>
    <row r="54" spans="1:11" x14ac:dyDescent="0.2">
      <c r="A54" s="1" t="s">
        <v>161</v>
      </c>
      <c r="B54" s="1" t="str">
        <f t="shared" si="9"/>
        <v>UIM</v>
      </c>
      <c r="C54" s="96"/>
      <c r="D54" s="96">
        <v>12.879</v>
      </c>
      <c r="E54" s="96">
        <v>13.157999999999999</v>
      </c>
      <c r="F54" s="96">
        <v>13.281000000000001</v>
      </c>
      <c r="G54" s="92">
        <v>13.936999999999999</v>
      </c>
      <c r="H54" s="92">
        <v>14.663</v>
      </c>
      <c r="I54" s="92">
        <v>14.791</v>
      </c>
      <c r="J54" s="92">
        <v>15.109</v>
      </c>
      <c r="K54" s="92">
        <v>15.179</v>
      </c>
    </row>
    <row r="55" spans="1:11" x14ac:dyDescent="0.2">
      <c r="A55" s="1" t="s">
        <v>162</v>
      </c>
      <c r="B55" s="1" t="str">
        <f t="shared" si="9"/>
        <v>UIM</v>
      </c>
      <c r="C55" s="96"/>
      <c r="D55" s="96">
        <v>4.1340000000000003</v>
      </c>
      <c r="E55" s="96">
        <v>4.1020000000000003</v>
      </c>
      <c r="F55" s="96">
        <v>3.9569999999999999</v>
      </c>
      <c r="G55" s="92">
        <v>5.0860000000000003</v>
      </c>
      <c r="H55" s="92">
        <v>5.0460000000000003</v>
      </c>
      <c r="I55" s="92">
        <v>4.7350000000000003</v>
      </c>
      <c r="J55" s="92">
        <v>4.8310000000000004</v>
      </c>
      <c r="K55" s="92">
        <v>4.6660000000000004</v>
      </c>
    </row>
    <row r="56" spans="1:11" x14ac:dyDescent="0.2">
      <c r="A56" s="1" t="s">
        <v>163</v>
      </c>
      <c r="B56" s="1" t="str">
        <f t="shared" si="9"/>
        <v>UIM</v>
      </c>
      <c r="C56" s="96"/>
      <c r="D56" s="96">
        <v>3.5150000000000001</v>
      </c>
      <c r="E56" s="96">
        <v>3.6480000000000001</v>
      </c>
      <c r="F56" s="96">
        <v>3.8820000000000001</v>
      </c>
      <c r="G56" s="92">
        <v>4.2759999999999998</v>
      </c>
      <c r="H56" s="92">
        <v>4.4189999999999996</v>
      </c>
      <c r="I56" s="92">
        <v>4.4530000000000003</v>
      </c>
      <c r="J56" s="92">
        <v>4.516</v>
      </c>
      <c r="K56" s="92">
        <v>4.569</v>
      </c>
    </row>
    <row r="57" spans="1:11" x14ac:dyDescent="0.2">
      <c r="A57" s="1" t="s">
        <v>165</v>
      </c>
      <c r="B57" s="1" t="str">
        <f t="shared" si="9"/>
        <v>UIM</v>
      </c>
      <c r="C57" s="96"/>
      <c r="D57" s="96">
        <v>2.2909999999999999</v>
      </c>
      <c r="E57" s="96">
        <v>2.1779999999999999</v>
      </c>
      <c r="F57" s="96">
        <v>2.1760000000000002</v>
      </c>
      <c r="G57" s="92">
        <v>2.452</v>
      </c>
      <c r="H57" s="92">
        <v>2.6219999999999999</v>
      </c>
      <c r="I57" s="92">
        <v>2.52</v>
      </c>
      <c r="J57" s="92">
        <v>2.883</v>
      </c>
      <c r="K57" s="92">
        <v>2.5939999999999999</v>
      </c>
    </row>
    <row r="58" spans="1:11" x14ac:dyDescent="0.2">
      <c r="A58" s="1" t="s">
        <v>166</v>
      </c>
      <c r="B58" s="1" t="str">
        <f t="shared" si="9"/>
        <v>UIM</v>
      </c>
      <c r="C58" s="96"/>
      <c r="D58" s="96">
        <v>2.2280000000000002</v>
      </c>
      <c r="E58" s="96">
        <v>2.1070000000000002</v>
      </c>
      <c r="F58" s="96">
        <v>2.544</v>
      </c>
      <c r="G58" s="92">
        <v>2.93</v>
      </c>
      <c r="H58" s="92">
        <v>3.3069999999999999</v>
      </c>
      <c r="I58" s="92">
        <v>3.165</v>
      </c>
      <c r="J58" s="92">
        <v>3.1240000000000001</v>
      </c>
      <c r="K58" s="92">
        <v>3.141</v>
      </c>
    </row>
    <row r="59" spans="1:11" x14ac:dyDescent="0.2">
      <c r="A59" s="1" t="s">
        <v>164</v>
      </c>
      <c r="B59" s="1" t="str">
        <f t="shared" si="9"/>
        <v>UIM</v>
      </c>
      <c r="C59" s="96"/>
      <c r="D59" s="96">
        <v>1.9610000000000001</v>
      </c>
      <c r="E59" s="96">
        <v>2.0259999999999998</v>
      </c>
      <c r="F59" s="96">
        <v>2.1459999999999999</v>
      </c>
      <c r="G59" s="92">
        <v>2.2629999999999999</v>
      </c>
      <c r="H59" s="92">
        <v>2.3740000000000001</v>
      </c>
      <c r="I59" s="92">
        <v>2.4510000000000001</v>
      </c>
      <c r="J59" s="92">
        <v>2.4609999999999999</v>
      </c>
      <c r="K59" s="92">
        <v>2.4670000000000001</v>
      </c>
    </row>
    <row r="60" spans="1:11" x14ac:dyDescent="0.2">
      <c r="A60" s="1" t="s">
        <v>168</v>
      </c>
      <c r="B60" s="1" t="str">
        <f t="shared" si="9"/>
        <v>UIM</v>
      </c>
      <c r="C60" s="96"/>
      <c r="D60" s="96">
        <v>0.77800000000000002</v>
      </c>
      <c r="E60" s="96">
        <v>0.78700000000000003</v>
      </c>
      <c r="F60" s="96">
        <v>0.85</v>
      </c>
      <c r="G60" s="92">
        <v>0.88100000000000001</v>
      </c>
      <c r="H60" s="92">
        <v>0.88</v>
      </c>
      <c r="I60" s="92">
        <v>0.85099999999999998</v>
      </c>
      <c r="J60" s="92">
        <v>0.82</v>
      </c>
      <c r="K60" s="92">
        <v>0.83299999999999996</v>
      </c>
    </row>
    <row r="61" spans="1:11" x14ac:dyDescent="0.2">
      <c r="A61" s="1" t="s">
        <v>167</v>
      </c>
      <c r="B61" s="1" t="str">
        <f t="shared" si="9"/>
        <v>UIM</v>
      </c>
      <c r="C61" s="96"/>
      <c r="D61" s="96">
        <v>0.66700000000000004</v>
      </c>
      <c r="E61" s="96">
        <v>0.749</v>
      </c>
      <c r="F61" s="96">
        <v>0.64400000000000002</v>
      </c>
      <c r="G61" s="92">
        <v>0.85099999999999998</v>
      </c>
      <c r="H61" s="92">
        <v>0.75600000000000001</v>
      </c>
      <c r="I61" s="92">
        <v>0.72299999999999998</v>
      </c>
      <c r="J61" s="92">
        <v>0.68200000000000005</v>
      </c>
      <c r="K61" s="92">
        <v>0.62</v>
      </c>
    </row>
    <row r="62" spans="1:11" x14ac:dyDescent="0.2">
      <c r="A62" s="1" t="s">
        <v>169</v>
      </c>
      <c r="B62" s="1" t="str">
        <f t="shared" si="9"/>
        <v>UIM</v>
      </c>
      <c r="C62" s="96"/>
      <c r="D62" s="96">
        <v>0.32</v>
      </c>
      <c r="E62" s="96">
        <v>0.55800000000000005</v>
      </c>
      <c r="F62" s="96">
        <v>0.53900000000000003</v>
      </c>
      <c r="G62" s="92">
        <v>0.60199999999999998</v>
      </c>
      <c r="H62" s="92">
        <v>0.878</v>
      </c>
      <c r="I62" s="92">
        <v>0.60199999999999998</v>
      </c>
      <c r="J62" s="92">
        <v>0.61</v>
      </c>
      <c r="K62" s="92">
        <v>0.64200000000000002</v>
      </c>
    </row>
    <row r="63" spans="1:11" x14ac:dyDescent="0.2">
      <c r="A63" s="1" t="s">
        <v>170</v>
      </c>
      <c r="B63" s="1" t="str">
        <f t="shared" si="9"/>
        <v>UIM</v>
      </c>
      <c r="C63" s="96"/>
      <c r="D63" s="96">
        <v>0.72299999999999998</v>
      </c>
      <c r="E63" s="96">
        <v>0.58699999999999997</v>
      </c>
      <c r="F63" s="96">
        <v>0.871</v>
      </c>
      <c r="G63" s="92">
        <v>1.2869999999999999</v>
      </c>
      <c r="H63" s="92">
        <v>1.0580000000000001</v>
      </c>
      <c r="I63" s="92">
        <v>1.101</v>
      </c>
      <c r="J63" s="92">
        <v>1.1100000000000001</v>
      </c>
      <c r="K63" s="92">
        <v>1.1080000000000001</v>
      </c>
    </row>
    <row r="64" spans="1:11" x14ac:dyDescent="0.2">
      <c r="A64" s="1" t="s">
        <v>159</v>
      </c>
      <c r="B64" s="1" t="str">
        <f t="shared" si="9"/>
        <v>UIM</v>
      </c>
      <c r="C64" s="96"/>
      <c r="D64" s="96">
        <v>0.35799999999999998</v>
      </c>
      <c r="E64" s="96">
        <v>0.27100000000000002</v>
      </c>
      <c r="F64" s="96">
        <v>0.217</v>
      </c>
      <c r="G64" s="92">
        <v>0.15</v>
      </c>
      <c r="H64" s="92">
        <v>0.122</v>
      </c>
      <c r="I64" s="92">
        <v>0.14799999999999999</v>
      </c>
      <c r="J64" s="92">
        <v>0.185</v>
      </c>
      <c r="K64" s="92">
        <v>0.21299999999999999</v>
      </c>
    </row>
    <row r="65" spans="1:11" x14ac:dyDescent="0.2">
      <c r="A65" s="1" t="s">
        <v>171</v>
      </c>
      <c r="B65" s="1" t="str">
        <f t="shared" si="9"/>
        <v>UIM</v>
      </c>
      <c r="C65" s="96"/>
      <c r="D65" s="96">
        <v>0.14499999999999999</v>
      </c>
      <c r="E65" s="96">
        <v>0.46100000000000002</v>
      </c>
      <c r="F65" s="96">
        <v>0.18099999999999999</v>
      </c>
      <c r="G65" s="92">
        <v>0.34</v>
      </c>
      <c r="H65" s="92">
        <v>0.55200000000000005</v>
      </c>
      <c r="I65" s="92">
        <v>0.35199999999999998</v>
      </c>
      <c r="J65" s="92">
        <v>0.34399999999999997</v>
      </c>
      <c r="K65" s="92">
        <v>0.34399999999999997</v>
      </c>
    </row>
    <row r="66" spans="1:11" x14ac:dyDescent="0.2">
      <c r="A66" s="1" t="s">
        <v>172</v>
      </c>
      <c r="B66" s="1" t="str">
        <f>$B$9</f>
        <v>NAC</v>
      </c>
      <c r="C66" s="96"/>
      <c r="D66" s="96">
        <v>3.7829999999999999</v>
      </c>
      <c r="E66" s="96">
        <v>3.59</v>
      </c>
      <c r="F66" s="96">
        <v>3.5339999999999998</v>
      </c>
      <c r="G66" s="92">
        <v>3.484</v>
      </c>
      <c r="H66" s="92">
        <v>3.4079999999999999</v>
      </c>
      <c r="I66" s="92">
        <v>3.3580000000000001</v>
      </c>
      <c r="J66" s="92">
        <v>3.5219999999999998</v>
      </c>
      <c r="K66" s="92">
        <v>3.294</v>
      </c>
    </row>
    <row r="67" spans="1:11" ht="15" x14ac:dyDescent="0.25">
      <c r="A67" s="26" t="s">
        <v>1186</v>
      </c>
      <c r="C67" s="96"/>
      <c r="D67" s="97">
        <f t="shared" ref="D67:K67" si="10">SUM(D$21:D$22,D$52:D$66)</f>
        <v>72.363</v>
      </c>
      <c r="E67" s="97">
        <f t="shared" si="10"/>
        <v>73.929000000000016</v>
      </c>
      <c r="F67" s="97">
        <f t="shared" si="10"/>
        <v>76.338999999999984</v>
      </c>
      <c r="G67" s="98">
        <f t="shared" si="10"/>
        <v>81.720000000000013</v>
      </c>
      <c r="H67" s="98">
        <f t="shared" si="10"/>
        <v>86.720000000000013</v>
      </c>
      <c r="I67" s="98">
        <f t="shared" si="10"/>
        <v>90.075000000000003</v>
      </c>
      <c r="J67" s="98">
        <f t="shared" si="10"/>
        <v>94.714999999999989</v>
      </c>
      <c r="K67" s="98">
        <f t="shared" si="10"/>
        <v>98.107999999999976</v>
      </c>
    </row>
    <row r="68" spans="1:11" ht="15" x14ac:dyDescent="0.25">
      <c r="A68" s="2" t="s">
        <v>174</v>
      </c>
      <c r="C68" s="96"/>
      <c r="D68" s="103"/>
      <c r="E68" s="103"/>
      <c r="F68" s="103"/>
      <c r="G68" s="103"/>
      <c r="H68" s="103"/>
      <c r="I68" s="103"/>
      <c r="J68" s="103"/>
      <c r="K68" s="103"/>
    </row>
    <row r="69" spans="1:11" x14ac:dyDescent="0.2">
      <c r="A69" s="1" t="s">
        <v>175</v>
      </c>
      <c r="B69" s="1" t="str">
        <f>$B$11</f>
        <v>UIM</v>
      </c>
      <c r="C69" s="96"/>
      <c r="D69" s="96">
        <v>64.944999999999993</v>
      </c>
      <c r="E69" s="96">
        <v>69.027000000000001</v>
      </c>
      <c r="F69" s="96">
        <v>73.099000000000004</v>
      </c>
      <c r="G69" s="92">
        <v>77.944999999999993</v>
      </c>
      <c r="H69" s="92">
        <v>81.962999999999994</v>
      </c>
      <c r="I69" s="92">
        <v>86.983000000000004</v>
      </c>
      <c r="J69" s="92">
        <v>91.72</v>
      </c>
      <c r="K69" s="92">
        <v>96.74</v>
      </c>
    </row>
    <row r="70" spans="1:11" x14ac:dyDescent="0.2">
      <c r="A70" s="1" t="s">
        <v>176</v>
      </c>
      <c r="B70" s="1" t="str">
        <f t="shared" ref="B70:B77" si="11">$B$11</f>
        <v>UIM</v>
      </c>
      <c r="C70" s="96"/>
      <c r="D70" s="96">
        <v>4.7309999999999999</v>
      </c>
      <c r="E70" s="96">
        <v>4.6849999999999996</v>
      </c>
      <c r="F70" s="96">
        <v>4.5149999999999997</v>
      </c>
      <c r="G70" s="92">
        <v>4.5350000000000001</v>
      </c>
      <c r="H70" s="92">
        <v>4.71</v>
      </c>
      <c r="I70" s="92">
        <v>5.1559999999999997</v>
      </c>
      <c r="J70" s="92">
        <v>5.3890000000000002</v>
      </c>
      <c r="K70" s="92">
        <v>5.6870000000000003</v>
      </c>
    </row>
    <row r="71" spans="1:11" x14ac:dyDescent="0.2">
      <c r="A71" s="1" t="s">
        <v>143</v>
      </c>
      <c r="B71" s="1" t="str">
        <f t="shared" si="11"/>
        <v>UIM</v>
      </c>
      <c r="C71" s="96"/>
      <c r="D71" s="96">
        <v>17.231999999999999</v>
      </c>
      <c r="E71" s="96">
        <v>17.074000000000002</v>
      </c>
      <c r="F71" s="96">
        <v>16.948</v>
      </c>
      <c r="G71" s="92">
        <v>18.616</v>
      </c>
      <c r="H71" s="92">
        <v>19.260000000000002</v>
      </c>
      <c r="I71" s="92">
        <v>19.824000000000002</v>
      </c>
      <c r="J71" s="92">
        <v>20.350999999999999</v>
      </c>
      <c r="K71" s="92">
        <v>20.863</v>
      </c>
    </row>
    <row r="72" spans="1:11" x14ac:dyDescent="0.2">
      <c r="A72" s="1" t="s">
        <v>1249</v>
      </c>
      <c r="B72" s="1" t="str">
        <f t="shared" si="11"/>
        <v>UIM</v>
      </c>
      <c r="C72" s="96"/>
      <c r="D72" s="96">
        <v>2.6680000000000001</v>
      </c>
      <c r="E72" s="96">
        <v>2.593</v>
      </c>
      <c r="F72" s="96">
        <v>2.431</v>
      </c>
      <c r="G72" s="92">
        <v>2.3730000000000002</v>
      </c>
      <c r="H72" s="92">
        <v>2.4620000000000002</v>
      </c>
      <c r="I72" s="92">
        <v>2.5089999999999999</v>
      </c>
      <c r="J72" s="92">
        <v>2.754</v>
      </c>
      <c r="K72" s="92">
        <v>2.7629999999999999</v>
      </c>
    </row>
    <row r="73" spans="1:11" x14ac:dyDescent="0.2">
      <c r="A73" s="1" t="s">
        <v>177</v>
      </c>
      <c r="B73" s="1" t="str">
        <f t="shared" si="11"/>
        <v>UIM</v>
      </c>
      <c r="C73" s="96"/>
      <c r="D73" s="96">
        <v>4.5190000000000001</v>
      </c>
      <c r="E73" s="96">
        <v>4.968</v>
      </c>
      <c r="F73" s="96">
        <v>4.8819999999999997</v>
      </c>
      <c r="G73" s="92">
        <v>4.8689999999999998</v>
      </c>
      <c r="H73" s="92">
        <v>4.9089999999999998</v>
      </c>
      <c r="I73" s="92">
        <v>5.38</v>
      </c>
      <c r="J73" s="92">
        <v>5.5540000000000003</v>
      </c>
      <c r="K73" s="92">
        <v>5.6920000000000002</v>
      </c>
    </row>
    <row r="74" spans="1:11" ht="15" x14ac:dyDescent="0.25">
      <c r="A74" s="26" t="s">
        <v>178</v>
      </c>
      <c r="C74" s="96"/>
      <c r="D74" s="97">
        <f t="shared" ref="D74:K74" si="12">SUM(D$69:D$73)</f>
        <v>94.094999999999999</v>
      </c>
      <c r="E74" s="97">
        <f t="shared" si="12"/>
        <v>98.347000000000008</v>
      </c>
      <c r="F74" s="97">
        <f t="shared" si="12"/>
        <v>101.87500000000001</v>
      </c>
      <c r="G74" s="98">
        <f t="shared" si="12"/>
        <v>108.33799999999999</v>
      </c>
      <c r="H74" s="98">
        <f t="shared" si="12"/>
        <v>113.304</v>
      </c>
      <c r="I74" s="98">
        <f t="shared" si="12"/>
        <v>119.852</v>
      </c>
      <c r="J74" s="98">
        <f t="shared" si="12"/>
        <v>125.768</v>
      </c>
      <c r="K74" s="98">
        <f t="shared" si="12"/>
        <v>131.745</v>
      </c>
    </row>
    <row r="75" spans="1:11" x14ac:dyDescent="0.2">
      <c r="A75" s="1" t="s">
        <v>146</v>
      </c>
      <c r="B75" s="1" t="str">
        <f t="shared" si="11"/>
        <v>UIM</v>
      </c>
      <c r="C75" s="96"/>
      <c r="D75" s="96">
        <v>23.896000000000001</v>
      </c>
      <c r="E75" s="96">
        <v>24.338000000000001</v>
      </c>
      <c r="F75" s="96">
        <v>25.292999999999999</v>
      </c>
      <c r="G75" s="92">
        <v>26.404</v>
      </c>
      <c r="H75" s="92">
        <v>29.308</v>
      </c>
      <c r="I75" s="92">
        <v>30.443000000000001</v>
      </c>
      <c r="J75" s="92">
        <v>31.709</v>
      </c>
      <c r="K75" s="92">
        <v>33.100999999999999</v>
      </c>
    </row>
    <row r="76" spans="1:11" x14ac:dyDescent="0.2">
      <c r="A76" s="1" t="s">
        <v>179</v>
      </c>
      <c r="B76" s="1" t="str">
        <f t="shared" si="11"/>
        <v>UIM</v>
      </c>
      <c r="C76" s="96"/>
      <c r="D76" s="96">
        <v>60.009</v>
      </c>
      <c r="E76" s="96">
        <v>61.16</v>
      </c>
      <c r="F76" s="96">
        <v>62.835999999999999</v>
      </c>
      <c r="G76" s="92">
        <v>69.05</v>
      </c>
      <c r="H76" s="92">
        <v>71.438000000000002</v>
      </c>
      <c r="I76" s="92">
        <v>71.552000000000007</v>
      </c>
      <c r="J76" s="92">
        <v>72.149000000000001</v>
      </c>
      <c r="K76" s="92">
        <v>72.98</v>
      </c>
    </row>
    <row r="77" spans="1:11" x14ac:dyDescent="0.2">
      <c r="A77" s="1" t="s">
        <v>180</v>
      </c>
      <c r="B77" s="1" t="str">
        <f t="shared" si="11"/>
        <v>UIM</v>
      </c>
      <c r="C77" s="96"/>
      <c r="D77" s="96">
        <v>4.5979999999999999</v>
      </c>
      <c r="E77" s="96">
        <v>4.3330000000000002</v>
      </c>
      <c r="F77" s="96">
        <v>4.1790000000000003</v>
      </c>
      <c r="G77" s="92">
        <v>4.08</v>
      </c>
      <c r="H77" s="92">
        <v>4.0519999999999996</v>
      </c>
      <c r="I77" s="92">
        <v>3.887</v>
      </c>
      <c r="J77" s="92">
        <v>4.1189999999999998</v>
      </c>
      <c r="K77" s="92">
        <v>3.76</v>
      </c>
    </row>
    <row r="78" spans="1:11" ht="15" x14ac:dyDescent="0.25">
      <c r="A78" s="26" t="s">
        <v>1187</v>
      </c>
      <c r="C78" s="96"/>
      <c r="D78" s="97">
        <f t="shared" ref="D78:K78" si="13">SUM(D$21:D$22,D$75:D$77)</f>
        <v>88.503</v>
      </c>
      <c r="E78" s="97">
        <f t="shared" si="13"/>
        <v>89.830999999999989</v>
      </c>
      <c r="F78" s="97">
        <f t="shared" si="13"/>
        <v>92.307999999999993</v>
      </c>
      <c r="G78" s="98">
        <f t="shared" si="13"/>
        <v>99.42</v>
      </c>
      <c r="H78" s="98">
        <f t="shared" si="13"/>
        <v>104.41300000000001</v>
      </c>
      <c r="I78" s="98">
        <f t="shared" si="13"/>
        <v>108.62700000000001</v>
      </c>
      <c r="J78" s="98">
        <f t="shared" si="13"/>
        <v>113.33799999999999</v>
      </c>
      <c r="K78" s="98">
        <f t="shared" si="13"/>
        <v>117.69500000000001</v>
      </c>
    </row>
    <row r="79" spans="1:11" ht="15" x14ac:dyDescent="0.25">
      <c r="A79" s="26" t="s">
        <v>181</v>
      </c>
      <c r="C79" s="96"/>
      <c r="D79" s="97">
        <f t="shared" ref="D79:K79" si="14">SUM(D$74,-D$78)</f>
        <v>5.5919999999999987</v>
      </c>
      <c r="E79" s="97">
        <f t="shared" si="14"/>
        <v>8.5160000000000196</v>
      </c>
      <c r="F79" s="97">
        <f t="shared" si="14"/>
        <v>9.5670000000000215</v>
      </c>
      <c r="G79" s="98">
        <f t="shared" si="14"/>
        <v>8.9179999999999922</v>
      </c>
      <c r="H79" s="98">
        <f t="shared" si="14"/>
        <v>8.8909999999999911</v>
      </c>
      <c r="I79" s="98">
        <f t="shared" si="14"/>
        <v>11.224999999999994</v>
      </c>
      <c r="J79" s="98">
        <f t="shared" si="14"/>
        <v>12.430000000000007</v>
      </c>
      <c r="K79" s="98">
        <f t="shared" si="14"/>
        <v>14.049999999999997</v>
      </c>
    </row>
    <row r="80" spans="1:11" x14ac:dyDescent="0.2">
      <c r="A80" s="1" t="s">
        <v>182</v>
      </c>
      <c r="B80" s="1" t="str">
        <f>$B$11</f>
        <v>UIM</v>
      </c>
      <c r="C80" s="96"/>
      <c r="D80" s="96">
        <v>-6.1769999999999996</v>
      </c>
      <c r="E80" s="96">
        <v>-6.1980000000000004</v>
      </c>
      <c r="F80" s="96">
        <v>-6.2089999999999996</v>
      </c>
      <c r="G80" s="92">
        <v>-9.218</v>
      </c>
      <c r="H80" s="92">
        <v>-10.191000000000001</v>
      </c>
      <c r="I80" s="92">
        <v>-8.3089999999999993</v>
      </c>
      <c r="J80" s="92">
        <v>-8.0869999999999997</v>
      </c>
      <c r="K80" s="92">
        <v>-6.7469999999999999</v>
      </c>
    </row>
    <row r="81" spans="1:11" x14ac:dyDescent="0.2">
      <c r="A81" s="1" t="s">
        <v>183</v>
      </c>
      <c r="B81" s="1" t="str">
        <f>$B$11</f>
        <v>UIM</v>
      </c>
      <c r="C81" s="96"/>
      <c r="D81" s="96">
        <v>-4.9119999999999999</v>
      </c>
      <c r="E81" s="96">
        <v>1.41</v>
      </c>
      <c r="F81" s="96">
        <v>0.88900000000000001</v>
      </c>
      <c r="G81" s="92">
        <v>-3.54</v>
      </c>
      <c r="H81" s="92">
        <v>6.117</v>
      </c>
      <c r="I81" s="92">
        <v>-4.1790000000000003</v>
      </c>
      <c r="J81" s="92">
        <v>-1.5920000000000001</v>
      </c>
      <c r="K81" s="92">
        <v>-10.385</v>
      </c>
    </row>
    <row r="82" spans="1:11" x14ac:dyDescent="0.2">
      <c r="A82" s="1" t="s">
        <v>184</v>
      </c>
      <c r="B82" s="1" t="str">
        <f>$B$11</f>
        <v>UIM</v>
      </c>
      <c r="C82" s="96"/>
      <c r="D82" s="96">
        <v>-0.63100000000000001</v>
      </c>
      <c r="E82" s="96">
        <v>-0.68700000000000006</v>
      </c>
      <c r="F82" s="96">
        <v>-0.748</v>
      </c>
      <c r="G82" s="92">
        <v>-0.85899999999999999</v>
      </c>
      <c r="H82" s="92">
        <v>-0.72299999999999998</v>
      </c>
      <c r="I82" s="92">
        <v>-0.626</v>
      </c>
      <c r="J82" s="92">
        <v>-0.61299999999999999</v>
      </c>
      <c r="K82" s="92">
        <v>-0.46500000000000002</v>
      </c>
    </row>
    <row r="83" spans="1:11" x14ac:dyDescent="0.2">
      <c r="A83" s="1" t="s">
        <v>185</v>
      </c>
      <c r="B83" s="1" t="str">
        <f>$B$11</f>
        <v>UIM</v>
      </c>
      <c r="C83" s="96"/>
      <c r="D83" s="96">
        <v>-1.6859999999999999</v>
      </c>
      <c r="E83" s="96">
        <v>-1.702</v>
      </c>
      <c r="F83" s="96">
        <v>-0.98899999999999999</v>
      </c>
      <c r="G83" s="92">
        <v>-0.214</v>
      </c>
      <c r="H83" s="92">
        <v>-0.20300000000000001</v>
      </c>
      <c r="I83" s="92">
        <v>-0.23300000000000001</v>
      </c>
      <c r="J83" s="92">
        <v>-0.253</v>
      </c>
      <c r="K83" s="92">
        <v>-0.25900000000000001</v>
      </c>
    </row>
    <row r="84" spans="1:11" x14ac:dyDescent="0.2">
      <c r="A84" s="1" t="s">
        <v>186</v>
      </c>
      <c r="B84" s="1" t="str">
        <f>$B$11</f>
        <v>UIM</v>
      </c>
      <c r="C84" s="96"/>
      <c r="D84" s="96">
        <v>0.73199999999999998</v>
      </c>
      <c r="E84" s="96">
        <v>0.113</v>
      </c>
      <c r="F84" s="96">
        <v>-0.14799999999999999</v>
      </c>
      <c r="G84" s="92">
        <v>-0.24299999999999999</v>
      </c>
      <c r="H84" s="92">
        <v>-0.42</v>
      </c>
      <c r="I84" s="92">
        <v>-0.22900000000000001</v>
      </c>
      <c r="J84" s="92">
        <v>-0.14199999999999999</v>
      </c>
      <c r="K84" s="92">
        <v>-0.29399999999999998</v>
      </c>
    </row>
    <row r="85" spans="1:11" ht="15" x14ac:dyDescent="0.25">
      <c r="A85" s="26" t="s">
        <v>196</v>
      </c>
      <c r="C85" s="96"/>
      <c r="D85" s="97">
        <f t="shared" ref="D85:K85" si="15">SUM(D$80:D$84)-SUM(D$124-C$124,D$125-C$125)</f>
        <v>-12.673999999999999</v>
      </c>
      <c r="E85" s="97">
        <f t="shared" si="15"/>
        <v>-7.0640000000000001</v>
      </c>
      <c r="F85" s="97">
        <f t="shared" si="15"/>
        <v>-7.2049999999999992</v>
      </c>
      <c r="G85" s="98">
        <f t="shared" si="15"/>
        <v>-13.773999999999999</v>
      </c>
      <c r="H85" s="98">
        <f t="shared" si="15"/>
        <v>-6.0870000000000006</v>
      </c>
      <c r="I85" s="98">
        <f t="shared" si="15"/>
        <v>-14.967999999999998</v>
      </c>
      <c r="J85" s="98">
        <f t="shared" si="15"/>
        <v>-12.793999999999999</v>
      </c>
      <c r="K85" s="98">
        <f t="shared" si="15"/>
        <v>-20.858999999999998</v>
      </c>
    </row>
    <row r="86" spans="1:11" ht="15" x14ac:dyDescent="0.25">
      <c r="A86" s="26" t="s">
        <v>187</v>
      </c>
      <c r="C86" s="96"/>
      <c r="D86" s="97">
        <f t="shared" ref="D86:K86" si="16">SUM(D$79,D$85)</f>
        <v>-7.0820000000000007</v>
      </c>
      <c r="E86" s="97">
        <f t="shared" si="16"/>
        <v>1.4520000000000195</v>
      </c>
      <c r="F86" s="97">
        <f t="shared" si="16"/>
        <v>2.3620000000000223</v>
      </c>
      <c r="G86" s="98">
        <f t="shared" si="16"/>
        <v>-4.856000000000007</v>
      </c>
      <c r="H86" s="98">
        <f t="shared" si="16"/>
        <v>2.8039999999999905</v>
      </c>
      <c r="I86" s="98">
        <f t="shared" si="16"/>
        <v>-3.7430000000000039</v>
      </c>
      <c r="J86" s="98">
        <f t="shared" si="16"/>
        <v>-0.36399999999999189</v>
      </c>
      <c r="K86" s="98">
        <f t="shared" si="16"/>
        <v>-6.8090000000000011</v>
      </c>
    </row>
    <row r="87" spans="1:11" x14ac:dyDescent="0.2">
      <c r="A87" s="1" t="s">
        <v>188</v>
      </c>
      <c r="B87" s="1" t="str">
        <f>$B$11</f>
        <v>UIM</v>
      </c>
      <c r="C87" s="96"/>
      <c r="D87" s="96">
        <v>0.372</v>
      </c>
      <c r="E87" s="96">
        <v>0.378</v>
      </c>
      <c r="F87" s="96">
        <v>0.26500000000000001</v>
      </c>
      <c r="G87" s="92">
        <v>0.46</v>
      </c>
      <c r="H87" s="92">
        <v>0.19600000000000001</v>
      </c>
      <c r="I87" s="92">
        <v>0.20200000000000001</v>
      </c>
      <c r="J87" s="92">
        <v>0.20799999999999999</v>
      </c>
      <c r="K87" s="92">
        <v>0.214</v>
      </c>
    </row>
    <row r="88" spans="1:11" x14ac:dyDescent="0.2">
      <c r="A88" s="1" t="s">
        <v>189</v>
      </c>
      <c r="B88" s="1" t="str">
        <f>$B$11</f>
        <v>UIM</v>
      </c>
      <c r="C88" s="96"/>
      <c r="D88" s="96">
        <v>1.548</v>
      </c>
      <c r="E88" s="96">
        <v>6.25</v>
      </c>
      <c r="F88" s="96">
        <v>1.3280000000000001</v>
      </c>
      <c r="G88" s="92">
        <v>-0.22900000000000001</v>
      </c>
      <c r="H88" s="92">
        <v>-3.3780000000000001</v>
      </c>
      <c r="I88" s="92">
        <v>2.1800000000000002</v>
      </c>
      <c r="J88" s="92">
        <v>-3.1280000000000001</v>
      </c>
      <c r="K88" s="92">
        <v>7.0270000000000001</v>
      </c>
    </row>
    <row r="89" spans="1:11" x14ac:dyDescent="0.2">
      <c r="A89" s="1" t="s">
        <v>190</v>
      </c>
      <c r="B89" s="1" t="str">
        <f>$B$11</f>
        <v>UIM</v>
      </c>
      <c r="C89" s="96"/>
      <c r="D89" s="96">
        <v>-2.3210000000000002</v>
      </c>
      <c r="E89" s="96">
        <v>2.21</v>
      </c>
      <c r="F89" s="96">
        <v>2.048</v>
      </c>
      <c r="G89" s="92">
        <v>-5.2489999999999997</v>
      </c>
      <c r="H89" s="92">
        <v>0.45800000000000002</v>
      </c>
      <c r="I89" s="92">
        <v>4.2000000000000003E-2</v>
      </c>
      <c r="J89" s="92">
        <v>-2E-3</v>
      </c>
      <c r="K89" s="92">
        <v>-8.0000000000000002E-3</v>
      </c>
    </row>
    <row r="90" spans="1:11" x14ac:dyDescent="0.2">
      <c r="A90" s="1" t="s">
        <v>191</v>
      </c>
      <c r="B90" s="1" t="str">
        <f>$B$11</f>
        <v>UIM</v>
      </c>
      <c r="C90" s="96"/>
      <c r="D90" s="96">
        <v>7.077</v>
      </c>
      <c r="E90" s="96">
        <v>-5.9610000000000003</v>
      </c>
      <c r="F90" s="96">
        <v>-1.81</v>
      </c>
      <c r="G90" s="92">
        <v>9.2490000000000006</v>
      </c>
      <c r="H90" s="92">
        <v>-0.64200000000000002</v>
      </c>
      <c r="I90" s="92">
        <v>1.776</v>
      </c>
      <c r="J90" s="92">
        <v>3.9660000000000002</v>
      </c>
      <c r="K90" s="92">
        <v>-0.11600000000000001</v>
      </c>
    </row>
    <row r="91" spans="1:11" x14ac:dyDescent="0.2">
      <c r="A91" s="1" t="s">
        <v>192</v>
      </c>
      <c r="B91" s="1" t="str">
        <f>$B$11</f>
        <v>UIM</v>
      </c>
      <c r="C91" s="96"/>
      <c r="D91" s="96">
        <v>-0.47799999999999998</v>
      </c>
      <c r="E91" s="96">
        <v>-0.50900000000000001</v>
      </c>
      <c r="F91" s="96">
        <v>-0.65600000000000003</v>
      </c>
      <c r="G91" s="92">
        <v>-0.56000000000000005</v>
      </c>
      <c r="H91" s="92">
        <v>-0.53200000000000003</v>
      </c>
      <c r="I91" s="92">
        <v>-0.56699999999999995</v>
      </c>
      <c r="J91" s="92">
        <v>-0.57799999999999996</v>
      </c>
      <c r="K91" s="92">
        <v>-0.57899999999999996</v>
      </c>
    </row>
    <row r="92" spans="1:11" ht="15" x14ac:dyDescent="0.25">
      <c r="A92" s="26" t="s">
        <v>193</v>
      </c>
      <c r="C92" s="96"/>
      <c r="D92" s="97">
        <f t="shared" ref="D92:K92" si="17">SUM(D$87:D$91)</f>
        <v>6.1980000000000004</v>
      </c>
      <c r="E92" s="97">
        <f t="shared" si="17"/>
        <v>2.3680000000000008</v>
      </c>
      <c r="F92" s="97">
        <f t="shared" si="17"/>
        <v>1.1749999999999998</v>
      </c>
      <c r="G92" s="98">
        <f t="shared" si="17"/>
        <v>3.6710000000000007</v>
      </c>
      <c r="H92" s="98">
        <f t="shared" si="17"/>
        <v>-3.8979999999999997</v>
      </c>
      <c r="I92" s="98">
        <f t="shared" si="17"/>
        <v>3.633</v>
      </c>
      <c r="J92" s="98">
        <f t="shared" si="17"/>
        <v>0.46600000000000052</v>
      </c>
      <c r="K92" s="98">
        <f t="shared" si="17"/>
        <v>6.5380000000000011</v>
      </c>
    </row>
    <row r="93" spans="1:11" ht="15" x14ac:dyDescent="0.25">
      <c r="A93" s="26" t="s">
        <v>194</v>
      </c>
      <c r="C93" s="96"/>
      <c r="D93" s="97">
        <f t="shared" ref="D93:K93" si="18">SUM(D$86,D$92)</f>
        <v>-0.88400000000000034</v>
      </c>
      <c r="E93" s="97">
        <f t="shared" si="18"/>
        <v>3.8200000000000203</v>
      </c>
      <c r="F93" s="97">
        <f t="shared" si="18"/>
        <v>3.5370000000000221</v>
      </c>
      <c r="G93" s="98">
        <f t="shared" si="18"/>
        <v>-1.1850000000000063</v>
      </c>
      <c r="H93" s="98">
        <f t="shared" si="18"/>
        <v>-1.0940000000000092</v>
      </c>
      <c r="I93" s="98">
        <f t="shared" si="18"/>
        <v>-0.11000000000000387</v>
      </c>
      <c r="J93" s="98">
        <f t="shared" si="18"/>
        <v>0.10200000000000864</v>
      </c>
      <c r="K93" s="98">
        <f t="shared" si="18"/>
        <v>-0.27099999999999991</v>
      </c>
    </row>
    <row r="94" spans="1:11" x14ac:dyDescent="0.2">
      <c r="A94" s="1" t="s">
        <v>195</v>
      </c>
      <c r="B94" s="1" t="str">
        <f>$B$9</f>
        <v>NAC</v>
      </c>
      <c r="C94" s="96"/>
      <c r="D94" s="96">
        <v>0.97799999999999998</v>
      </c>
      <c r="E94" s="96">
        <v>-0.185</v>
      </c>
      <c r="F94" s="96">
        <v>-0.42199999999999999</v>
      </c>
      <c r="G94" s="92">
        <v>0.52100000000000002</v>
      </c>
      <c r="H94" s="92">
        <v>2E-3</v>
      </c>
      <c r="I94" s="92">
        <v>4.0000000000000001E-3</v>
      </c>
      <c r="J94" s="92">
        <v>2E-3</v>
      </c>
      <c r="K94" s="92">
        <v>2E-3</v>
      </c>
    </row>
    <row r="95" spans="1:11" ht="15" x14ac:dyDescent="0.25">
      <c r="A95" s="26" t="s">
        <v>209</v>
      </c>
      <c r="C95" s="96"/>
      <c r="D95" s="101" t="str">
        <f t="shared" ref="D95:K95" si="19">IF(ROUND(D$114-C$114-SUM(D$93:D$94),3)=0,"OK","ERROR")</f>
        <v>OK</v>
      </c>
      <c r="E95" s="101" t="str">
        <f t="shared" si="19"/>
        <v>OK</v>
      </c>
      <c r="F95" s="101" t="str">
        <f t="shared" si="19"/>
        <v>OK</v>
      </c>
      <c r="G95" s="102" t="str">
        <f t="shared" si="19"/>
        <v>OK</v>
      </c>
      <c r="H95" s="102" t="str">
        <f t="shared" si="19"/>
        <v>OK</v>
      </c>
      <c r="I95" s="102" t="str">
        <f t="shared" si="19"/>
        <v>OK</v>
      </c>
      <c r="J95" s="102" t="str">
        <f t="shared" si="19"/>
        <v>OK</v>
      </c>
      <c r="K95" s="102" t="str">
        <f t="shared" si="19"/>
        <v>OK</v>
      </c>
    </row>
    <row r="96" spans="1:11" ht="15" x14ac:dyDescent="0.25">
      <c r="A96" s="2" t="s">
        <v>208</v>
      </c>
      <c r="C96" s="96"/>
      <c r="D96" s="96"/>
      <c r="E96" s="96"/>
      <c r="F96" s="96"/>
      <c r="G96" s="92"/>
      <c r="H96" s="92"/>
      <c r="I96" s="92"/>
      <c r="J96" s="92"/>
      <c r="K96" s="92"/>
    </row>
    <row r="97" spans="1:11" ht="15" x14ac:dyDescent="0.25">
      <c r="A97" s="26" t="s">
        <v>197</v>
      </c>
      <c r="C97" s="96"/>
      <c r="D97" s="97">
        <f t="shared" ref="D97:K97" si="20">SUM(D$29,D$79)</f>
        <v>9.9209999999999994</v>
      </c>
      <c r="E97" s="97">
        <f t="shared" si="20"/>
        <v>1.0090000000000199</v>
      </c>
      <c r="F97" s="97">
        <f t="shared" si="20"/>
        <v>17.245000000000022</v>
      </c>
      <c r="G97" s="98">
        <f t="shared" si="20"/>
        <v>12.572999999999993</v>
      </c>
      <c r="H97" s="98">
        <f t="shared" si="20"/>
        <v>11.67799999999999</v>
      </c>
      <c r="I97" s="98">
        <f t="shared" si="20"/>
        <v>14.358999999999995</v>
      </c>
      <c r="J97" s="98">
        <f t="shared" si="20"/>
        <v>15.978000000000007</v>
      </c>
      <c r="K97" s="98">
        <f t="shared" si="20"/>
        <v>18.082999999999998</v>
      </c>
    </row>
    <row r="98" spans="1:11" x14ac:dyDescent="0.2">
      <c r="A98" s="1" t="s">
        <v>1250</v>
      </c>
      <c r="B98" s="1" t="str">
        <f t="shared" ref="B98:B110" si="21">$B$11</f>
        <v>UIM</v>
      </c>
      <c r="C98" s="96"/>
      <c r="D98" s="96">
        <v>-0.79700000000000004</v>
      </c>
      <c r="E98" s="96">
        <v>-0.70799999999999996</v>
      </c>
      <c r="F98" s="96">
        <v>-0.81399999999999995</v>
      </c>
      <c r="G98" s="92">
        <v>-0.72</v>
      </c>
      <c r="H98" s="92">
        <v>-0.72899999999999998</v>
      </c>
      <c r="I98" s="92">
        <v>-0.72499999999999998</v>
      </c>
      <c r="J98" s="92">
        <v>-0.73099999999999998</v>
      </c>
      <c r="K98" s="92">
        <v>-0.751</v>
      </c>
    </row>
    <row r="99" spans="1:11" x14ac:dyDescent="0.2">
      <c r="A99" s="1" t="s">
        <v>663</v>
      </c>
      <c r="B99" s="1" t="str">
        <f t="shared" si="21"/>
        <v>UIM</v>
      </c>
      <c r="C99" s="96"/>
      <c r="D99" s="96">
        <v>-0.69599999999999995</v>
      </c>
      <c r="E99" s="96">
        <v>-0.747</v>
      </c>
      <c r="F99" s="96">
        <v>-0.753</v>
      </c>
      <c r="G99" s="92">
        <v>-1.0489999999999999</v>
      </c>
      <c r="H99" s="92">
        <v>-0.76200000000000001</v>
      </c>
      <c r="I99" s="92">
        <v>-0.77600000000000002</v>
      </c>
      <c r="J99" s="92">
        <v>-0.77800000000000002</v>
      </c>
      <c r="K99" s="92">
        <v>-0.73099999999999998</v>
      </c>
    </row>
    <row r="100" spans="1:11" x14ac:dyDescent="0.2">
      <c r="A100" s="1" t="s">
        <v>198</v>
      </c>
      <c r="B100" s="1" t="str">
        <f t="shared" si="21"/>
        <v>UIM</v>
      </c>
      <c r="C100" s="96"/>
      <c r="D100" s="96">
        <v>-0.30499999999999999</v>
      </c>
      <c r="E100" s="96">
        <v>-0.16900000000000001</v>
      </c>
      <c r="F100" s="96">
        <v>0.05</v>
      </c>
      <c r="G100" s="92">
        <v>9.9000000000000005E-2</v>
      </c>
      <c r="H100" s="92">
        <v>-1.6E-2</v>
      </c>
      <c r="I100" s="92">
        <v>-1.6E-2</v>
      </c>
      <c r="J100" s="92">
        <v>-1.7999999999999999E-2</v>
      </c>
      <c r="K100" s="92">
        <v>-1.7999999999999999E-2</v>
      </c>
    </row>
    <row r="101" spans="1:11" x14ac:dyDescent="0.2">
      <c r="A101" s="1" t="s">
        <v>199</v>
      </c>
      <c r="B101" s="1" t="str">
        <f t="shared" si="21"/>
        <v>UIM</v>
      </c>
      <c r="C101" s="96"/>
      <c r="D101" s="96">
        <v>0.373</v>
      </c>
      <c r="E101" s="96">
        <v>0.42</v>
      </c>
      <c r="F101" s="96">
        <v>0.47199999999999998</v>
      </c>
      <c r="G101" s="92">
        <v>0.57599999999999996</v>
      </c>
      <c r="H101" s="92">
        <v>0.59199999999999997</v>
      </c>
      <c r="I101" s="92">
        <v>0.57199999999999995</v>
      </c>
      <c r="J101" s="92">
        <v>0.54</v>
      </c>
      <c r="K101" s="92">
        <v>0.51400000000000001</v>
      </c>
    </row>
    <row r="102" spans="1:11" x14ac:dyDescent="0.2">
      <c r="A102" s="1" t="s">
        <v>200</v>
      </c>
      <c r="B102" s="1" t="str">
        <f t="shared" si="21"/>
        <v>UIM</v>
      </c>
      <c r="C102" s="96"/>
      <c r="D102" s="96">
        <v>0.746</v>
      </c>
      <c r="E102" s="96">
        <v>-0.59699999999999998</v>
      </c>
      <c r="F102" s="96">
        <v>-1.0469999999999999</v>
      </c>
      <c r="G102" s="92">
        <v>-0.44</v>
      </c>
      <c r="H102" s="92">
        <v>-0.623</v>
      </c>
      <c r="I102" s="92">
        <v>-1.538</v>
      </c>
      <c r="J102" s="92">
        <v>-1.9259999999999999</v>
      </c>
      <c r="K102" s="92">
        <v>-2.0379999999999998</v>
      </c>
    </row>
    <row r="103" spans="1:11" x14ac:dyDescent="0.2">
      <c r="A103" s="1" t="s">
        <v>171</v>
      </c>
      <c r="B103" s="1" t="str">
        <f t="shared" si="21"/>
        <v>UIM</v>
      </c>
      <c r="C103" s="96"/>
      <c r="D103" s="96">
        <v>0.69899999999999995</v>
      </c>
      <c r="E103" s="96">
        <v>-8.5000000000000006E-2</v>
      </c>
      <c r="F103" s="96">
        <v>0.25800000000000001</v>
      </c>
      <c r="G103" s="92">
        <v>0.215</v>
      </c>
      <c r="H103" s="92">
        <v>0.26400000000000001</v>
      </c>
      <c r="I103" s="92">
        <v>0.28599999999999998</v>
      </c>
      <c r="J103" s="92">
        <v>0.29599999999999999</v>
      </c>
      <c r="K103" s="92">
        <v>0.311</v>
      </c>
    </row>
    <row r="104" spans="1:11" ht="15" x14ac:dyDescent="0.25">
      <c r="A104" s="26" t="s">
        <v>1189</v>
      </c>
      <c r="C104" s="96"/>
      <c r="D104" s="97">
        <f>SUM(-D$17,D$98:D$103)</f>
        <v>-4.0249999999999986</v>
      </c>
      <c r="E104" s="97">
        <f t="shared" ref="E104:F104" si="22">SUM(-E$17,E$98:E$103)</f>
        <v>-6.0529999999999999</v>
      </c>
      <c r="F104" s="97">
        <f t="shared" si="22"/>
        <v>-6.1950000000000003</v>
      </c>
      <c r="G104" s="98">
        <f>SUM(-G$17,G$98:G$103)</f>
        <v>-6.0960000000000001</v>
      </c>
      <c r="H104" s="98">
        <f t="shared" ref="H104:K104" si="23">SUM(-H$17,H$98:H$103)</f>
        <v>-6.1139999999999999</v>
      </c>
      <c r="I104" s="98">
        <f t="shared" si="23"/>
        <v>-7.0469999999999997</v>
      </c>
      <c r="J104" s="98">
        <f t="shared" si="23"/>
        <v>-7.5379999999999994</v>
      </c>
      <c r="K104" s="98">
        <f t="shared" si="23"/>
        <v>-7.6959999999999997</v>
      </c>
    </row>
    <row r="105" spans="1:11" x14ac:dyDescent="0.2">
      <c r="A105" s="1" t="s">
        <v>201</v>
      </c>
      <c r="B105" s="1" t="str">
        <f t="shared" si="21"/>
        <v>UIM</v>
      </c>
      <c r="C105" s="96"/>
      <c r="D105" s="96">
        <v>0.14099999999999999</v>
      </c>
      <c r="E105" s="96">
        <v>-0.53200000000000003</v>
      </c>
      <c r="F105" s="96">
        <v>1.17</v>
      </c>
      <c r="G105" s="92">
        <v>0.84799999999999998</v>
      </c>
      <c r="H105" s="92">
        <v>1.27</v>
      </c>
      <c r="I105" s="92">
        <v>1.18</v>
      </c>
      <c r="J105" s="92">
        <v>1.831</v>
      </c>
      <c r="K105" s="92">
        <v>1.5940000000000001</v>
      </c>
    </row>
    <row r="106" spans="1:11" x14ac:dyDescent="0.2">
      <c r="A106" s="1" t="s">
        <v>202</v>
      </c>
      <c r="B106" s="1" t="str">
        <f t="shared" si="21"/>
        <v>UIM</v>
      </c>
      <c r="C106" s="96"/>
      <c r="D106" s="96">
        <v>0.19600000000000001</v>
      </c>
      <c r="E106" s="96">
        <v>0.16900000000000001</v>
      </c>
      <c r="F106" s="96">
        <v>0.312</v>
      </c>
      <c r="G106" s="92">
        <v>0.28899999999999998</v>
      </c>
      <c r="H106" s="92">
        <v>0.48499999999999999</v>
      </c>
      <c r="I106" s="92">
        <v>0.30599999999999999</v>
      </c>
      <c r="J106" s="92">
        <v>0.30499999999999999</v>
      </c>
      <c r="K106" s="92">
        <v>7.1999999999999995E-2</v>
      </c>
    </row>
    <row r="107" spans="1:11" x14ac:dyDescent="0.2">
      <c r="A107" s="1" t="s">
        <v>203</v>
      </c>
      <c r="B107" s="1" t="str">
        <f t="shared" si="21"/>
        <v>UIM</v>
      </c>
      <c r="C107" s="96"/>
      <c r="D107" s="96">
        <v>-0.105</v>
      </c>
      <c r="E107" s="96">
        <v>0.115</v>
      </c>
      <c r="F107" s="96">
        <v>5.7000000000000002E-2</v>
      </c>
      <c r="G107" s="92">
        <v>-0.107</v>
      </c>
      <c r="H107" s="92">
        <v>-2.3E-2</v>
      </c>
      <c r="I107" s="92">
        <v>-2.7E-2</v>
      </c>
      <c r="J107" s="92">
        <v>2.7E-2</v>
      </c>
      <c r="K107" s="92">
        <v>2.3E-2</v>
      </c>
    </row>
    <row r="108" spans="1:11" x14ac:dyDescent="0.2">
      <c r="A108" s="1" t="s">
        <v>204</v>
      </c>
      <c r="B108" s="1" t="str">
        <f t="shared" si="21"/>
        <v>UIM</v>
      </c>
      <c r="C108" s="96"/>
      <c r="D108" s="96">
        <v>-1.2E-2</v>
      </c>
      <c r="E108" s="96">
        <v>7.0000000000000007E-2</v>
      </c>
      <c r="F108" s="96">
        <v>0.151</v>
      </c>
      <c r="G108" s="92">
        <v>-0.03</v>
      </c>
      <c r="H108" s="92">
        <v>-7.0000000000000001E-3</v>
      </c>
      <c r="I108" s="92">
        <v>-1.2E-2</v>
      </c>
      <c r="J108" s="92">
        <v>5.0000000000000001E-3</v>
      </c>
      <c r="K108" s="92">
        <v>1.4E-2</v>
      </c>
    </row>
    <row r="109" spans="1:11" x14ac:dyDescent="0.2">
      <c r="A109" s="1" t="s">
        <v>205</v>
      </c>
      <c r="B109" s="1" t="str">
        <f t="shared" si="21"/>
        <v>UIM</v>
      </c>
      <c r="C109" s="96"/>
      <c r="D109" s="96">
        <v>-0.14899999999999999</v>
      </c>
      <c r="E109" s="96">
        <v>-6.6000000000000003E-2</v>
      </c>
      <c r="F109" s="96">
        <v>-4.5999999999999999E-2</v>
      </c>
      <c r="G109" s="92">
        <v>-8.3000000000000004E-2</v>
      </c>
      <c r="H109" s="92">
        <v>-0.108</v>
      </c>
      <c r="I109" s="92">
        <v>-2.3E-2</v>
      </c>
      <c r="J109" s="92">
        <v>-5.8000000000000003E-2</v>
      </c>
      <c r="K109" s="92">
        <v>-5.0999999999999997E-2</v>
      </c>
    </row>
    <row r="110" spans="1:11" x14ac:dyDescent="0.2">
      <c r="A110" s="1" t="s">
        <v>206</v>
      </c>
      <c r="B110" s="1" t="str">
        <f t="shared" si="21"/>
        <v>UIM</v>
      </c>
      <c r="C110" s="96"/>
      <c r="D110" s="96">
        <v>-0.19600000000000001</v>
      </c>
      <c r="E110" s="96">
        <v>-8.1000000000000003E-2</v>
      </c>
      <c r="F110" s="96">
        <v>-0.377</v>
      </c>
      <c r="G110" s="92">
        <v>-0.39700000000000002</v>
      </c>
      <c r="H110" s="92">
        <v>-0.40799999999999997</v>
      </c>
      <c r="I110" s="92">
        <v>0.10100000000000001</v>
      </c>
      <c r="J110" s="92">
        <v>-0.98299999999999998</v>
      </c>
      <c r="K110" s="92">
        <v>-0.38700000000000001</v>
      </c>
    </row>
    <row r="111" spans="1:11" ht="15" x14ac:dyDescent="0.25">
      <c r="A111" s="26" t="s">
        <v>207</v>
      </c>
      <c r="C111" s="96"/>
      <c r="D111" s="97">
        <f t="shared" ref="D111:K111" si="24">SUM(D$105:D$110)</f>
        <v>-0.12500000000000003</v>
      </c>
      <c r="E111" s="97">
        <f t="shared" si="24"/>
        <v>-0.32500000000000001</v>
      </c>
      <c r="F111" s="97">
        <f t="shared" si="24"/>
        <v>1.2669999999999999</v>
      </c>
      <c r="G111" s="98">
        <f t="shared" si="24"/>
        <v>0.52</v>
      </c>
      <c r="H111" s="98">
        <f t="shared" si="24"/>
        <v>1.2090000000000001</v>
      </c>
      <c r="I111" s="98">
        <f t="shared" si="24"/>
        <v>1.5250000000000001</v>
      </c>
      <c r="J111" s="98">
        <f t="shared" si="24"/>
        <v>1.1270000000000002</v>
      </c>
      <c r="K111" s="98">
        <f t="shared" si="24"/>
        <v>1.2650000000000001</v>
      </c>
    </row>
    <row r="112" spans="1:11" ht="15" x14ac:dyDescent="0.25">
      <c r="A112" s="26" t="s">
        <v>210</v>
      </c>
      <c r="C112" s="96"/>
      <c r="D112" s="101" t="str">
        <f t="shared" ref="D112:K112" si="25">IF(ROUND(D$31-(D$97+D$104+D$111),3)=0,"OK","ERROR")</f>
        <v>OK</v>
      </c>
      <c r="E112" s="101" t="str">
        <f t="shared" si="25"/>
        <v>OK</v>
      </c>
      <c r="F112" s="101" t="str">
        <f t="shared" si="25"/>
        <v>OK</v>
      </c>
      <c r="G112" s="102" t="str">
        <f t="shared" si="25"/>
        <v>OK</v>
      </c>
      <c r="H112" s="102" t="str">
        <f t="shared" si="25"/>
        <v>OK</v>
      </c>
      <c r="I112" s="102" t="str">
        <f t="shared" si="25"/>
        <v>OK</v>
      </c>
      <c r="J112" s="102" t="str">
        <f t="shared" si="25"/>
        <v>OK</v>
      </c>
      <c r="K112" s="102" t="str">
        <f t="shared" si="25"/>
        <v>OK</v>
      </c>
    </row>
    <row r="113" spans="1:11" ht="15" x14ac:dyDescent="0.25">
      <c r="A113" s="2" t="s">
        <v>211</v>
      </c>
      <c r="C113" s="96"/>
      <c r="D113" s="96"/>
      <c r="E113" s="96"/>
      <c r="F113" s="96"/>
      <c r="G113" s="92"/>
      <c r="H113" s="92"/>
      <c r="I113" s="92"/>
      <c r="J113" s="92"/>
      <c r="K113" s="92"/>
    </row>
    <row r="114" spans="1:11" ht="15" x14ac:dyDescent="0.25">
      <c r="A114" s="1" t="s">
        <v>212</v>
      </c>
      <c r="B114" s="1" t="str">
        <f t="shared" ref="B114:B129" si="26">$B$11</f>
        <v>UIM</v>
      </c>
      <c r="C114" s="99">
        <v>11.888</v>
      </c>
      <c r="D114" s="96">
        <v>11.981999999999999</v>
      </c>
      <c r="E114" s="96">
        <v>15.617000000000001</v>
      </c>
      <c r="F114" s="96">
        <v>18.731999999999999</v>
      </c>
      <c r="G114" s="92">
        <v>18.068000000000001</v>
      </c>
      <c r="H114" s="92">
        <v>16.975999999999999</v>
      </c>
      <c r="I114" s="92">
        <v>16.87</v>
      </c>
      <c r="J114" s="92">
        <v>16.974</v>
      </c>
      <c r="K114" s="92">
        <v>16.704999999999998</v>
      </c>
    </row>
    <row r="115" spans="1:11" x14ac:dyDescent="0.2">
      <c r="A115" s="1" t="s">
        <v>213</v>
      </c>
      <c r="B115" s="1" t="str">
        <f t="shared" si="26"/>
        <v>UIM</v>
      </c>
      <c r="C115" s="96"/>
      <c r="D115" s="96">
        <v>17.602</v>
      </c>
      <c r="E115" s="96">
        <v>16.789000000000001</v>
      </c>
      <c r="F115" s="96">
        <v>18.529</v>
      </c>
      <c r="G115" s="92">
        <v>19.317</v>
      </c>
      <c r="H115" s="92">
        <v>20.77</v>
      </c>
      <c r="I115" s="92">
        <v>21.844000000000001</v>
      </c>
      <c r="J115" s="92">
        <v>23.48</v>
      </c>
      <c r="K115" s="92">
        <v>24.757000000000001</v>
      </c>
    </row>
    <row r="116" spans="1:11" x14ac:dyDescent="0.2">
      <c r="A116" s="1" t="s">
        <v>214</v>
      </c>
      <c r="B116" s="1" t="str">
        <f t="shared" si="26"/>
        <v>UIM</v>
      </c>
      <c r="C116" s="96"/>
      <c r="D116" s="96">
        <v>54.298000000000002</v>
      </c>
      <c r="E116" s="96">
        <v>53.398000000000003</v>
      </c>
      <c r="F116" s="96">
        <v>50.506</v>
      </c>
      <c r="G116" s="92">
        <v>50.235999999999997</v>
      </c>
      <c r="H116" s="92">
        <v>42.63</v>
      </c>
      <c r="I116" s="92">
        <v>45.033999999999999</v>
      </c>
      <c r="J116" s="92">
        <v>44.48</v>
      </c>
      <c r="K116" s="92">
        <v>52.945</v>
      </c>
    </row>
    <row r="117" spans="1:11" x14ac:dyDescent="0.2">
      <c r="A117" s="1" t="s">
        <v>215</v>
      </c>
      <c r="B117" s="1" t="str">
        <f t="shared" si="26"/>
        <v>UIM</v>
      </c>
      <c r="C117" s="96"/>
      <c r="D117" s="96">
        <v>25.408000000000001</v>
      </c>
      <c r="E117" s="96">
        <v>24.216999999999999</v>
      </c>
      <c r="F117" s="96">
        <v>30.7</v>
      </c>
      <c r="G117" s="92">
        <v>36.44</v>
      </c>
      <c r="H117" s="92">
        <v>39.344000000000001</v>
      </c>
      <c r="I117" s="92">
        <v>42.978000000000002</v>
      </c>
      <c r="J117" s="92">
        <v>47.366999999999997</v>
      </c>
      <c r="K117" s="92">
        <v>52.27</v>
      </c>
    </row>
    <row r="118" spans="1:11" x14ac:dyDescent="0.2">
      <c r="A118" s="1" t="s">
        <v>216</v>
      </c>
      <c r="B118" s="1" t="str">
        <f t="shared" si="26"/>
        <v>UIM</v>
      </c>
      <c r="C118" s="96"/>
      <c r="D118" s="96">
        <v>26.497</v>
      </c>
      <c r="E118" s="96">
        <v>28.234000000000002</v>
      </c>
      <c r="F118" s="96">
        <v>28.582999999999998</v>
      </c>
      <c r="G118" s="92">
        <v>28.984999999999999</v>
      </c>
      <c r="H118" s="92">
        <v>29.942</v>
      </c>
      <c r="I118" s="92">
        <v>31.042000000000002</v>
      </c>
      <c r="J118" s="92">
        <v>31.917000000000002</v>
      </c>
      <c r="K118" s="92">
        <v>32.843000000000004</v>
      </c>
    </row>
    <row r="119" spans="1:11" x14ac:dyDescent="0.2">
      <c r="A119" s="1" t="s">
        <v>217</v>
      </c>
      <c r="B119" s="1" t="str">
        <f t="shared" si="26"/>
        <v>UIM</v>
      </c>
      <c r="C119" s="96"/>
      <c r="D119" s="96">
        <v>0.995</v>
      </c>
      <c r="E119" s="96">
        <v>1.1100000000000001</v>
      </c>
      <c r="F119" s="96">
        <v>1.167</v>
      </c>
      <c r="G119" s="92">
        <v>1.0589999999999999</v>
      </c>
      <c r="H119" s="92">
        <v>1.036</v>
      </c>
      <c r="I119" s="92">
        <v>1.0089999999999999</v>
      </c>
      <c r="J119" s="92">
        <v>1.036</v>
      </c>
      <c r="K119" s="92">
        <v>1.0580000000000001</v>
      </c>
    </row>
    <row r="120" spans="1:11" x14ac:dyDescent="0.2">
      <c r="A120" s="1" t="s">
        <v>218</v>
      </c>
      <c r="B120" s="1" t="str">
        <f t="shared" si="26"/>
        <v>UIM</v>
      </c>
      <c r="C120" s="96"/>
      <c r="D120" s="96">
        <v>2.3889999999999998</v>
      </c>
      <c r="E120" s="96">
        <v>2.9140000000000001</v>
      </c>
      <c r="F120" s="96">
        <v>3.0790000000000002</v>
      </c>
      <c r="G120" s="92">
        <v>2.6480000000000001</v>
      </c>
      <c r="H120" s="92">
        <v>2.637</v>
      </c>
      <c r="I120" s="92">
        <v>2.6539999999999999</v>
      </c>
      <c r="J120" s="92">
        <v>2.681</v>
      </c>
      <c r="K120" s="92">
        <v>2.766</v>
      </c>
    </row>
    <row r="121" spans="1:11" x14ac:dyDescent="0.2">
      <c r="A121" s="1" t="s">
        <v>219</v>
      </c>
      <c r="B121" s="1" t="str">
        <f>$B$9</f>
        <v>NAC</v>
      </c>
      <c r="C121" s="96"/>
      <c r="D121" s="96">
        <v>124.55800000000001</v>
      </c>
      <c r="E121" s="96">
        <v>134.499</v>
      </c>
      <c r="F121" s="96">
        <v>144.55000000000001</v>
      </c>
      <c r="G121" s="92">
        <v>149.82300000000001</v>
      </c>
      <c r="H121" s="92">
        <v>155.86699999999999</v>
      </c>
      <c r="I121" s="92">
        <v>159.42500000000001</v>
      </c>
      <c r="J121" s="92">
        <v>162.44300000000001</v>
      </c>
      <c r="K121" s="92">
        <v>163.946</v>
      </c>
    </row>
    <row r="122" spans="1:11" x14ac:dyDescent="0.2">
      <c r="A122" s="1" t="s">
        <v>220</v>
      </c>
      <c r="B122" s="1" t="str">
        <f t="shared" si="26"/>
        <v>UIM</v>
      </c>
      <c r="C122" s="96"/>
      <c r="D122" s="96">
        <v>11.917999999999999</v>
      </c>
      <c r="E122" s="96">
        <v>12.705</v>
      </c>
      <c r="F122" s="96">
        <v>14.21</v>
      </c>
      <c r="G122" s="92">
        <v>14.808</v>
      </c>
      <c r="H122" s="92">
        <v>15.384</v>
      </c>
      <c r="I122" s="92">
        <v>15.821</v>
      </c>
      <c r="J122" s="92">
        <v>16.356000000000002</v>
      </c>
      <c r="K122" s="92">
        <v>16.858000000000001</v>
      </c>
    </row>
    <row r="123" spans="1:11" x14ac:dyDescent="0.2">
      <c r="A123" s="1" t="s">
        <v>221</v>
      </c>
      <c r="B123" s="1" t="str">
        <f>$B$9</f>
        <v>NAC</v>
      </c>
      <c r="C123" s="96"/>
      <c r="D123" s="96">
        <v>3.056</v>
      </c>
      <c r="E123" s="96">
        <v>3.1960000000000002</v>
      </c>
      <c r="F123" s="96">
        <v>3.5529999999999999</v>
      </c>
      <c r="G123" s="92">
        <v>3.8079999999999998</v>
      </c>
      <c r="H123" s="92">
        <v>3.98</v>
      </c>
      <c r="I123" s="92">
        <v>4.0759999999999996</v>
      </c>
      <c r="J123" s="92">
        <v>4.157</v>
      </c>
      <c r="K123" s="92">
        <v>4.0750000000000002</v>
      </c>
    </row>
    <row r="124" spans="1:11" x14ac:dyDescent="0.2">
      <c r="A124" s="1" t="s">
        <v>222</v>
      </c>
      <c r="C124" s="96"/>
      <c r="D124" s="96">
        <v>0</v>
      </c>
      <c r="E124" s="96">
        <v>0</v>
      </c>
      <c r="F124" s="96">
        <v>0</v>
      </c>
      <c r="G124" s="92">
        <v>0.185</v>
      </c>
      <c r="H124" s="92">
        <v>1.452</v>
      </c>
      <c r="I124" s="92">
        <v>2.9940000000000002</v>
      </c>
      <c r="J124" s="92">
        <v>5.351</v>
      </c>
      <c r="K124" s="92">
        <v>8.06</v>
      </c>
    </row>
    <row r="125" spans="1:11" x14ac:dyDescent="0.2">
      <c r="A125" s="1" t="s">
        <v>223</v>
      </c>
      <c r="C125" s="96"/>
      <c r="D125" s="96">
        <v>0</v>
      </c>
      <c r="E125" s="96">
        <v>0</v>
      </c>
      <c r="F125" s="96">
        <v>0</v>
      </c>
      <c r="G125" s="92">
        <v>-0.48499999999999999</v>
      </c>
      <c r="H125" s="92">
        <v>-1.085</v>
      </c>
      <c r="I125" s="92">
        <v>-1.2350000000000001</v>
      </c>
      <c r="J125" s="92">
        <v>-1.4850000000000001</v>
      </c>
      <c r="K125" s="92">
        <v>-1.4850000000000001</v>
      </c>
    </row>
    <row r="126" spans="1:11" ht="15" x14ac:dyDescent="0.25">
      <c r="A126" s="26" t="s">
        <v>224</v>
      </c>
      <c r="C126" s="96"/>
      <c r="D126" s="97">
        <f t="shared" ref="D126:K126" si="27">SUM(D$114:D$125)</f>
        <v>278.70300000000003</v>
      </c>
      <c r="E126" s="97">
        <f t="shared" si="27"/>
        <v>292.67900000000003</v>
      </c>
      <c r="F126" s="97">
        <f t="shared" si="27"/>
        <v>313.60899999999998</v>
      </c>
      <c r="G126" s="98">
        <f t="shared" si="27"/>
        <v>324.892</v>
      </c>
      <c r="H126" s="98">
        <f t="shared" si="27"/>
        <v>328.93300000000005</v>
      </c>
      <c r="I126" s="98">
        <f t="shared" si="27"/>
        <v>342.51200000000006</v>
      </c>
      <c r="J126" s="98">
        <f t="shared" si="27"/>
        <v>354.75700000000001</v>
      </c>
      <c r="K126" s="98">
        <f t="shared" si="27"/>
        <v>374.798</v>
      </c>
    </row>
    <row r="127" spans="1:11" x14ac:dyDescent="0.2">
      <c r="A127" s="1" t="s">
        <v>225</v>
      </c>
      <c r="B127" s="1" t="str">
        <f t="shared" si="26"/>
        <v>UIM</v>
      </c>
      <c r="C127" s="96"/>
      <c r="D127" s="96">
        <v>5.3360000000000003</v>
      </c>
      <c r="E127" s="96">
        <v>5.7149999999999999</v>
      </c>
      <c r="F127" s="96">
        <v>5.98</v>
      </c>
      <c r="G127" s="92">
        <v>6.44</v>
      </c>
      <c r="H127" s="92">
        <v>6.6360000000000001</v>
      </c>
      <c r="I127" s="92">
        <v>6.8380000000000001</v>
      </c>
      <c r="J127" s="92">
        <v>7.0460000000000003</v>
      </c>
      <c r="K127" s="92">
        <v>7.26</v>
      </c>
    </row>
    <row r="128" spans="1:11" x14ac:dyDescent="0.2">
      <c r="A128" s="1" t="s">
        <v>226</v>
      </c>
      <c r="B128" s="1" t="str">
        <f t="shared" si="26"/>
        <v>UIM</v>
      </c>
      <c r="C128" s="96"/>
      <c r="D128" s="96">
        <v>11.952999999999999</v>
      </c>
      <c r="E128" s="96">
        <v>12.029</v>
      </c>
      <c r="F128" s="96">
        <v>14.794</v>
      </c>
      <c r="G128" s="92">
        <v>13.007</v>
      </c>
      <c r="H128" s="92">
        <v>13.484</v>
      </c>
      <c r="I128" s="92">
        <v>13.275</v>
      </c>
      <c r="J128" s="92">
        <v>13.417</v>
      </c>
      <c r="K128" s="92">
        <v>13.651</v>
      </c>
    </row>
    <row r="129" spans="1:11" x14ac:dyDescent="0.2">
      <c r="A129" s="1" t="s">
        <v>227</v>
      </c>
      <c r="B129" s="1" t="str">
        <f t="shared" si="26"/>
        <v>UIM</v>
      </c>
      <c r="C129" s="96"/>
      <c r="D129" s="96">
        <v>2.1120000000000001</v>
      </c>
      <c r="E129" s="96">
        <v>2.1779999999999999</v>
      </c>
      <c r="F129" s="96">
        <v>2.2240000000000002</v>
      </c>
      <c r="G129" s="92">
        <v>2.3069999999999999</v>
      </c>
      <c r="H129" s="92">
        <v>2.4140000000000001</v>
      </c>
      <c r="I129" s="92">
        <v>2.4380000000000002</v>
      </c>
      <c r="J129" s="92">
        <v>2.496</v>
      </c>
      <c r="K129" s="92">
        <v>2.5470000000000002</v>
      </c>
    </row>
    <row r="130" spans="1:11" x14ac:dyDescent="0.2">
      <c r="A130" s="1" t="s">
        <v>228</v>
      </c>
      <c r="B130" s="1" t="str">
        <f>$B$11</f>
        <v>UIM</v>
      </c>
      <c r="C130" s="96"/>
      <c r="D130" s="96">
        <v>112.58</v>
      </c>
      <c r="E130" s="96">
        <v>113.956</v>
      </c>
      <c r="F130" s="96">
        <v>111.806</v>
      </c>
      <c r="G130" s="92">
        <v>115.97799999999999</v>
      </c>
      <c r="H130" s="92">
        <v>112.89</v>
      </c>
      <c r="I130" s="92">
        <v>117.176</v>
      </c>
      <c r="J130" s="92">
        <v>118.173</v>
      </c>
      <c r="K130" s="92">
        <v>125.399</v>
      </c>
    </row>
    <row r="131" spans="1:11" x14ac:dyDescent="0.2">
      <c r="A131" s="1" t="s">
        <v>229</v>
      </c>
      <c r="B131" s="1" t="str">
        <f>$B$9</f>
        <v>NAC</v>
      </c>
      <c r="C131" s="96"/>
      <c r="D131" s="96">
        <v>36.430999999999997</v>
      </c>
      <c r="E131" s="96">
        <v>42.125999999999998</v>
      </c>
      <c r="F131" s="96">
        <v>42.786000000000001</v>
      </c>
      <c r="G131" s="92">
        <v>44.109000000000002</v>
      </c>
      <c r="H131" s="92">
        <v>44.731999999999999</v>
      </c>
      <c r="I131" s="92">
        <v>46.27</v>
      </c>
      <c r="J131" s="92">
        <v>48.195999999999998</v>
      </c>
      <c r="K131" s="92">
        <v>50.234000000000002</v>
      </c>
    </row>
    <row r="132" spans="1:11" x14ac:dyDescent="0.2">
      <c r="A132" s="1" t="s">
        <v>230</v>
      </c>
      <c r="B132" s="1" t="str">
        <f>$B$11</f>
        <v>UIM</v>
      </c>
      <c r="C132" s="96"/>
      <c r="D132" s="96">
        <v>10.834</v>
      </c>
      <c r="E132" s="96">
        <v>12.442</v>
      </c>
      <c r="F132" s="96">
        <v>11.006</v>
      </c>
      <c r="G132" s="92">
        <v>10.579000000000001</v>
      </c>
      <c r="H132" s="92">
        <v>9.9870000000000001</v>
      </c>
      <c r="I132" s="92">
        <v>9.4149999999999991</v>
      </c>
      <c r="J132" s="92">
        <v>8.875</v>
      </c>
      <c r="K132" s="92">
        <v>8.3610000000000007</v>
      </c>
    </row>
    <row r="133" spans="1:11" x14ac:dyDescent="0.2">
      <c r="A133" s="1" t="s">
        <v>231</v>
      </c>
      <c r="B133" s="1" t="str">
        <f>$B$11</f>
        <v>UIM</v>
      </c>
      <c r="C133" s="96"/>
      <c r="D133" s="96">
        <v>7.2210000000000001</v>
      </c>
      <c r="E133" s="96">
        <v>8.7119999999999997</v>
      </c>
      <c r="F133" s="96">
        <v>8.5410000000000004</v>
      </c>
      <c r="G133" s="92">
        <v>8.9049999999999994</v>
      </c>
      <c r="H133" s="92">
        <v>8.4730000000000008</v>
      </c>
      <c r="I133" s="92">
        <v>8.0540000000000003</v>
      </c>
      <c r="J133" s="92">
        <v>7.9550000000000001</v>
      </c>
      <c r="K133" s="92">
        <v>7.069</v>
      </c>
    </row>
    <row r="134" spans="1:11" ht="15" x14ac:dyDescent="0.25">
      <c r="A134" s="26" t="s">
        <v>232</v>
      </c>
      <c r="C134" s="96"/>
      <c r="D134" s="97">
        <f t="shared" ref="D134:K134" si="28">SUM(D$127:D$133)</f>
        <v>186.46699999999998</v>
      </c>
      <c r="E134" s="97">
        <f t="shared" si="28"/>
        <v>197.15800000000002</v>
      </c>
      <c r="F134" s="97">
        <f t="shared" si="28"/>
        <v>197.137</v>
      </c>
      <c r="G134" s="98">
        <f t="shared" si="28"/>
        <v>201.32500000000002</v>
      </c>
      <c r="H134" s="98">
        <f t="shared" si="28"/>
        <v>198.61600000000001</v>
      </c>
      <c r="I134" s="98">
        <f t="shared" si="28"/>
        <v>203.46600000000001</v>
      </c>
      <c r="J134" s="98">
        <f t="shared" si="28"/>
        <v>206.15800000000002</v>
      </c>
      <c r="K134" s="98">
        <f t="shared" si="28"/>
        <v>214.52099999999999</v>
      </c>
    </row>
    <row r="135" spans="1:11" ht="15" x14ac:dyDescent="0.25">
      <c r="A135" s="26" t="s">
        <v>233</v>
      </c>
      <c r="C135" s="96"/>
      <c r="D135" s="99">
        <v>92.236000000000004</v>
      </c>
      <c r="E135" s="99">
        <v>95.521000000000001</v>
      </c>
      <c r="F135" s="99">
        <v>116.47199999999999</v>
      </c>
      <c r="G135" s="100">
        <v>123.56699999999999</v>
      </c>
      <c r="H135" s="100">
        <v>130.31700000000001</v>
      </c>
      <c r="I135" s="100">
        <v>139.04599999999999</v>
      </c>
      <c r="J135" s="100">
        <v>148.59899999999999</v>
      </c>
      <c r="K135" s="100">
        <v>160.27699999999999</v>
      </c>
    </row>
    <row r="136" spans="1:11" ht="15" x14ac:dyDescent="0.25">
      <c r="A136" s="26" t="s">
        <v>234</v>
      </c>
      <c r="C136" s="96"/>
      <c r="D136" s="101" t="str">
        <f t="shared" ref="D136:K136" si="29">IF(ROUND(D$135-(D$126-D$134),3)=0,"OK","ERROR")</f>
        <v>OK</v>
      </c>
      <c r="E136" s="101" t="str">
        <f t="shared" si="29"/>
        <v>OK</v>
      </c>
      <c r="F136" s="101" t="str">
        <f t="shared" si="29"/>
        <v>OK</v>
      </c>
      <c r="G136" s="102" t="str">
        <f t="shared" si="29"/>
        <v>OK</v>
      </c>
      <c r="H136" s="102" t="str">
        <f t="shared" si="29"/>
        <v>OK</v>
      </c>
      <c r="I136" s="102" t="str">
        <f t="shared" si="29"/>
        <v>OK</v>
      </c>
      <c r="J136" s="102" t="str">
        <f t="shared" si="29"/>
        <v>OK</v>
      </c>
      <c r="K136" s="102" t="str">
        <f t="shared" si="29"/>
        <v>OK</v>
      </c>
    </row>
    <row r="137" spans="1:11" ht="15" x14ac:dyDescent="0.25">
      <c r="A137" s="26" t="s">
        <v>235</v>
      </c>
      <c r="B137" s="1" t="str">
        <f>$B$11</f>
        <v>UIM</v>
      </c>
      <c r="C137" s="96"/>
      <c r="D137" s="96">
        <v>5.782</v>
      </c>
      <c r="E137" s="96">
        <v>6.1550000000000002</v>
      </c>
      <c r="F137" s="96">
        <v>5.94</v>
      </c>
      <c r="G137" s="92">
        <v>5.9180000000000001</v>
      </c>
      <c r="H137" s="92">
        <v>5.86</v>
      </c>
      <c r="I137" s="92">
        <v>5.7329999999999997</v>
      </c>
      <c r="J137" s="92">
        <v>5.6719999999999997</v>
      </c>
      <c r="K137" s="92">
        <v>5.6079999999999997</v>
      </c>
    </row>
    <row r="138" spans="1:11" ht="15" x14ac:dyDescent="0.25">
      <c r="A138" s="2" t="s">
        <v>236</v>
      </c>
      <c r="C138" s="96"/>
      <c r="D138" s="92"/>
      <c r="E138" s="92"/>
      <c r="F138" s="92"/>
      <c r="G138" s="92"/>
      <c r="H138" s="92"/>
      <c r="I138" s="92"/>
      <c r="J138" s="92"/>
      <c r="K138" s="92"/>
    </row>
    <row r="139" spans="1:11" x14ac:dyDescent="0.2">
      <c r="A139" s="1" t="s">
        <v>237</v>
      </c>
      <c r="B139" s="1" t="str">
        <f>$B$11</f>
        <v>UIM</v>
      </c>
      <c r="C139" s="96"/>
      <c r="D139" s="96">
        <v>95.649000000000001</v>
      </c>
      <c r="E139" s="96">
        <v>95.037000000000006</v>
      </c>
      <c r="F139" s="96">
        <v>94.106999999999999</v>
      </c>
      <c r="G139" s="92">
        <v>97.248000000000005</v>
      </c>
      <c r="H139" s="92">
        <v>91.655000000000001</v>
      </c>
      <c r="I139" s="92">
        <v>93.869</v>
      </c>
      <c r="J139" s="92">
        <v>92.787999999999997</v>
      </c>
      <c r="K139" s="92">
        <v>97.885000000000005</v>
      </c>
    </row>
    <row r="140" spans="1:11" x14ac:dyDescent="0.2">
      <c r="A140" s="1" t="s">
        <v>238</v>
      </c>
      <c r="B140" s="1" t="str">
        <f>$B$11</f>
        <v>UIM</v>
      </c>
      <c r="C140" s="96"/>
      <c r="D140" s="96">
        <v>2.4929999999999999</v>
      </c>
      <c r="E140" s="96">
        <v>1.754</v>
      </c>
      <c r="F140" s="96">
        <v>1.4870000000000001</v>
      </c>
      <c r="G140" s="92">
        <v>2.2629999999999999</v>
      </c>
      <c r="H140" s="92">
        <v>2.2839999999999998</v>
      </c>
      <c r="I140" s="92">
        <v>2.2959999999999998</v>
      </c>
      <c r="J140" s="92">
        <v>2.298</v>
      </c>
      <c r="K140" s="92">
        <v>2.3010000000000002</v>
      </c>
    </row>
    <row r="141" spans="1:11" ht="15" x14ac:dyDescent="0.25">
      <c r="A141" s="26" t="s">
        <v>239</v>
      </c>
      <c r="C141" s="96"/>
      <c r="D141" s="97">
        <f t="shared" ref="D141:I141" si="30">D$139-D$140</f>
        <v>93.156000000000006</v>
      </c>
      <c r="E141" s="97">
        <f t="shared" si="30"/>
        <v>93.283000000000001</v>
      </c>
      <c r="F141" s="97">
        <f t="shared" si="30"/>
        <v>92.62</v>
      </c>
      <c r="G141" s="98">
        <f t="shared" si="30"/>
        <v>94.984999999999999</v>
      </c>
      <c r="H141" s="98">
        <f t="shared" si="30"/>
        <v>89.370999999999995</v>
      </c>
      <c r="I141" s="98">
        <f t="shared" si="30"/>
        <v>91.572999999999993</v>
      </c>
      <c r="J141" s="98">
        <f>J$139-J$140</f>
        <v>90.49</v>
      </c>
      <c r="K141" s="98">
        <f>K$139-K$140</f>
        <v>95.584000000000003</v>
      </c>
    </row>
    <row r="142" spans="1:11" x14ac:dyDescent="0.2">
      <c r="A142" s="1" t="s">
        <v>240</v>
      </c>
      <c r="B142" s="1" t="str">
        <f>$B$11</f>
        <v>UIM</v>
      </c>
      <c r="C142" s="96"/>
      <c r="D142" s="96">
        <v>76.433999999999997</v>
      </c>
      <c r="E142" s="96">
        <v>75.793000000000006</v>
      </c>
      <c r="F142" s="96">
        <v>81.015000000000001</v>
      </c>
      <c r="G142" s="92">
        <v>85.569000000000003</v>
      </c>
      <c r="H142" s="92">
        <v>79.453000000000003</v>
      </c>
      <c r="I142" s="92">
        <v>84.509</v>
      </c>
      <c r="J142" s="92">
        <v>87.221999999999994</v>
      </c>
      <c r="K142" s="92">
        <v>99.129000000000005</v>
      </c>
    </row>
    <row r="143" spans="1:11" ht="15" x14ac:dyDescent="0.25">
      <c r="A143" s="26" t="s">
        <v>241</v>
      </c>
      <c r="C143" s="96"/>
      <c r="D143" s="97">
        <f t="shared" ref="D143:K143" si="31">D$141-D$142</f>
        <v>16.722000000000008</v>
      </c>
      <c r="E143" s="97">
        <f t="shared" si="31"/>
        <v>17.489999999999995</v>
      </c>
      <c r="F143" s="97">
        <f t="shared" si="31"/>
        <v>11.605000000000004</v>
      </c>
      <c r="G143" s="98">
        <f t="shared" si="31"/>
        <v>9.4159999999999968</v>
      </c>
      <c r="H143" s="98">
        <f t="shared" si="31"/>
        <v>9.9179999999999922</v>
      </c>
      <c r="I143" s="98">
        <f t="shared" si="31"/>
        <v>7.063999999999993</v>
      </c>
      <c r="J143" s="98">
        <f t="shared" si="31"/>
        <v>3.2680000000000007</v>
      </c>
      <c r="K143" s="98">
        <f t="shared" si="31"/>
        <v>-3.5450000000000017</v>
      </c>
    </row>
    <row r="144" spans="1:11" x14ac:dyDescent="0.2">
      <c r="A144" s="1" t="s">
        <v>242</v>
      </c>
      <c r="B144" s="1" t="str">
        <f>$B$11</f>
        <v>UIM</v>
      </c>
      <c r="C144" s="96"/>
      <c r="D144" s="96">
        <v>14.14</v>
      </c>
      <c r="E144" s="96">
        <v>14.612</v>
      </c>
      <c r="F144" s="96">
        <v>12.013999999999999</v>
      </c>
      <c r="G144" s="92">
        <v>11.943</v>
      </c>
      <c r="H144" s="92">
        <v>11.984</v>
      </c>
      <c r="I144" s="92">
        <v>11.951000000000001</v>
      </c>
      <c r="J144" s="92">
        <v>11.811</v>
      </c>
      <c r="K144" s="92">
        <v>11.566000000000001</v>
      </c>
    </row>
    <row r="145" spans="1:11" x14ac:dyDescent="0.2">
      <c r="A145" s="1" t="s">
        <v>243</v>
      </c>
      <c r="B145" s="1" t="str">
        <f>$B$11</f>
        <v>UIM</v>
      </c>
      <c r="C145" s="96"/>
      <c r="D145" s="96">
        <v>29.768999999999998</v>
      </c>
      <c r="E145" s="96">
        <v>29.777999999999999</v>
      </c>
      <c r="F145" s="96">
        <v>35.860999999999997</v>
      </c>
      <c r="G145" s="92">
        <v>39.049999999999997</v>
      </c>
      <c r="H145" s="92">
        <v>42.302</v>
      </c>
      <c r="I145" s="92">
        <v>46.85</v>
      </c>
      <c r="J145" s="92">
        <v>52.527999999999999</v>
      </c>
      <c r="K145" s="92">
        <v>58.936</v>
      </c>
    </row>
    <row r="146" spans="1:11" ht="15" x14ac:dyDescent="0.25">
      <c r="A146" s="26" t="s">
        <v>244</v>
      </c>
      <c r="B146" s="1" t="str">
        <f>$B$11</f>
        <v>UIM</v>
      </c>
      <c r="C146" s="96"/>
      <c r="D146" s="99">
        <v>60.631</v>
      </c>
      <c r="E146" s="99">
        <v>61.88</v>
      </c>
      <c r="F146" s="99">
        <v>59.48</v>
      </c>
      <c r="G146" s="100">
        <v>60.408999999999999</v>
      </c>
      <c r="H146" s="100">
        <v>64.203999999999994</v>
      </c>
      <c r="I146" s="100">
        <v>65.864999999999995</v>
      </c>
      <c r="J146" s="100">
        <v>67.606999999999999</v>
      </c>
      <c r="K146" s="100">
        <v>66.956999999999994</v>
      </c>
    </row>
    <row r="147" spans="1:11" ht="15" x14ac:dyDescent="0.25">
      <c r="A147" s="26" t="s">
        <v>1190</v>
      </c>
      <c r="C147" s="96"/>
      <c r="D147" s="101" t="str">
        <f t="shared" ref="D147:K147" si="32">IF(ROUND(D$146-SUM(D$143:D$145),3)=0,"OK","ERROR")</f>
        <v>OK</v>
      </c>
      <c r="E147" s="101" t="str">
        <f t="shared" si="32"/>
        <v>OK</v>
      </c>
      <c r="F147" s="101" t="str">
        <f t="shared" si="32"/>
        <v>OK</v>
      </c>
      <c r="G147" s="102" t="str">
        <f t="shared" si="32"/>
        <v>OK</v>
      </c>
      <c r="H147" s="102" t="str">
        <f t="shared" si="32"/>
        <v>OK</v>
      </c>
      <c r="I147" s="102" t="str">
        <f t="shared" si="32"/>
        <v>OK</v>
      </c>
      <c r="J147" s="102" t="str">
        <f t="shared" si="32"/>
        <v>OK</v>
      </c>
      <c r="K147" s="102" t="str">
        <f t="shared" si="32"/>
        <v>OK</v>
      </c>
    </row>
    <row r="148" spans="1:11" ht="15" x14ac:dyDescent="0.25">
      <c r="A148" s="2" t="s">
        <v>257</v>
      </c>
      <c r="C148" s="96"/>
      <c r="D148" s="92"/>
      <c r="E148" s="92"/>
      <c r="F148" s="92"/>
      <c r="G148" s="92"/>
      <c r="H148" s="92"/>
      <c r="I148" s="92"/>
      <c r="J148" s="92"/>
      <c r="K148" s="92"/>
    </row>
    <row r="149" spans="1:11" x14ac:dyDescent="0.2">
      <c r="A149" s="1" t="s">
        <v>141</v>
      </c>
      <c r="B149" s="1" t="str">
        <f>$B$11</f>
        <v>UIM</v>
      </c>
      <c r="C149" s="96"/>
      <c r="D149" s="96">
        <v>66.635999999999996</v>
      </c>
      <c r="E149" s="96">
        <v>70.444999999999993</v>
      </c>
      <c r="F149" s="96">
        <v>75.644000000000005</v>
      </c>
      <c r="G149" s="92">
        <v>79.537000000000006</v>
      </c>
      <c r="H149" s="92">
        <v>83.900999999999996</v>
      </c>
      <c r="I149" s="92">
        <v>89.033000000000001</v>
      </c>
      <c r="J149" s="92">
        <v>93.929000000000002</v>
      </c>
      <c r="K149" s="92">
        <v>99.018000000000001</v>
      </c>
    </row>
    <row r="150" spans="1:11" x14ac:dyDescent="0.2">
      <c r="A150" s="1" t="s">
        <v>142</v>
      </c>
      <c r="B150" s="1" t="str">
        <f>$B$11</f>
        <v>UIM</v>
      </c>
      <c r="C150" s="96"/>
      <c r="D150" s="96">
        <v>0.99299999999999999</v>
      </c>
      <c r="E150" s="96">
        <v>1.1160000000000001</v>
      </c>
      <c r="F150" s="96">
        <v>1.458</v>
      </c>
      <c r="G150" s="92">
        <v>1.5860000000000001</v>
      </c>
      <c r="H150" s="92">
        <v>1.7310000000000001</v>
      </c>
      <c r="I150" s="92">
        <v>1.792</v>
      </c>
      <c r="J150" s="92">
        <v>1.845</v>
      </c>
      <c r="K150" s="92">
        <v>1.893</v>
      </c>
    </row>
    <row r="151" spans="1:11" x14ac:dyDescent="0.2">
      <c r="A151" s="1" t="s">
        <v>143</v>
      </c>
      <c r="B151" s="1" t="str">
        <f>$B$11</f>
        <v>UIM</v>
      </c>
      <c r="C151" s="96"/>
      <c r="D151" s="96">
        <v>1.393</v>
      </c>
      <c r="E151" s="96">
        <v>1.4530000000000001</v>
      </c>
      <c r="F151" s="96">
        <v>1.607</v>
      </c>
      <c r="G151" s="92">
        <v>1.6839999999999999</v>
      </c>
      <c r="H151" s="92">
        <v>1.976</v>
      </c>
      <c r="I151" s="92">
        <v>1.784</v>
      </c>
      <c r="J151" s="92">
        <v>1.7769999999999999</v>
      </c>
      <c r="K151" s="92">
        <v>1.718</v>
      </c>
    </row>
    <row r="152" spans="1:11" x14ac:dyDescent="0.2">
      <c r="A152" s="1" t="s">
        <v>1245</v>
      </c>
      <c r="B152" s="1" t="str">
        <f>$B$11</f>
        <v>UIM</v>
      </c>
      <c r="C152" s="96"/>
      <c r="D152" s="96">
        <v>1.141</v>
      </c>
      <c r="E152" s="96">
        <v>1.1000000000000001</v>
      </c>
      <c r="F152" s="96">
        <v>1.119</v>
      </c>
      <c r="G152" s="92">
        <v>1.143</v>
      </c>
      <c r="H152" s="92">
        <v>1.327</v>
      </c>
      <c r="I152" s="92">
        <v>1.2929999999999999</v>
      </c>
      <c r="J152" s="92">
        <v>1.423</v>
      </c>
      <c r="K152" s="92">
        <v>1.34</v>
      </c>
    </row>
    <row r="153" spans="1:11" x14ac:dyDescent="0.2">
      <c r="A153" s="1" t="s">
        <v>144</v>
      </c>
      <c r="B153" s="1" t="str">
        <f>$B$11</f>
        <v>UIM</v>
      </c>
      <c r="C153" s="96"/>
      <c r="D153" s="96">
        <v>2.0499999999999998</v>
      </c>
      <c r="E153" s="96">
        <v>2.0070000000000001</v>
      </c>
      <c r="F153" s="96">
        <v>1.954</v>
      </c>
      <c r="G153" s="92">
        <v>2.0089999999999999</v>
      </c>
      <c r="H153" s="92">
        <v>2.0299999999999998</v>
      </c>
      <c r="I153" s="92">
        <v>2.319</v>
      </c>
      <c r="J153" s="92">
        <v>2.2040000000000002</v>
      </c>
      <c r="K153" s="92">
        <v>2.29</v>
      </c>
    </row>
    <row r="154" spans="1:11" ht="15" x14ac:dyDescent="0.25">
      <c r="A154" s="26" t="s">
        <v>245</v>
      </c>
      <c r="B154" s="1" t="str">
        <f>$B$9</f>
        <v>NAC</v>
      </c>
      <c r="C154" s="96"/>
      <c r="D154" s="99">
        <v>72.212999999999994</v>
      </c>
      <c r="E154" s="99">
        <v>76.120999999999995</v>
      </c>
      <c r="F154" s="99">
        <v>81.781999999999996</v>
      </c>
      <c r="G154" s="100">
        <v>85.959000000000003</v>
      </c>
      <c r="H154" s="100">
        <v>90.965000000000003</v>
      </c>
      <c r="I154" s="100">
        <v>96.221000000000004</v>
      </c>
      <c r="J154" s="100">
        <v>101.178</v>
      </c>
      <c r="K154" s="100">
        <v>106.259</v>
      </c>
    </row>
    <row r="155" spans="1:11" ht="15" x14ac:dyDescent="0.25">
      <c r="A155" s="26" t="s">
        <v>258</v>
      </c>
      <c r="C155" s="96"/>
      <c r="D155" s="101" t="str">
        <f t="shared" ref="D155:K155" si="33">IF(ROUND(D$154-SUM(D$149:D$153),3)=0,"OK","ERROR")</f>
        <v>OK</v>
      </c>
      <c r="E155" s="101" t="str">
        <f t="shared" si="33"/>
        <v>OK</v>
      </c>
      <c r="F155" s="101" t="str">
        <f t="shared" si="33"/>
        <v>OK</v>
      </c>
      <c r="G155" s="102" t="str">
        <f t="shared" si="33"/>
        <v>OK</v>
      </c>
      <c r="H155" s="102" t="str">
        <f t="shared" si="33"/>
        <v>OK</v>
      </c>
      <c r="I155" s="102" t="str">
        <f t="shared" si="33"/>
        <v>OK</v>
      </c>
      <c r="J155" s="102" t="str">
        <f t="shared" si="33"/>
        <v>OK</v>
      </c>
      <c r="K155" s="102" t="str">
        <f t="shared" si="33"/>
        <v>OK</v>
      </c>
    </row>
    <row r="156" spans="1:11" x14ac:dyDescent="0.2">
      <c r="A156" s="1" t="s">
        <v>246</v>
      </c>
      <c r="B156" s="1" t="str">
        <f>$B$11</f>
        <v>UIM</v>
      </c>
      <c r="C156" s="96"/>
      <c r="D156" s="96">
        <v>23.722999999999999</v>
      </c>
      <c r="E156" s="96">
        <v>24.312000000000001</v>
      </c>
      <c r="F156" s="96">
        <v>25.263999999999999</v>
      </c>
      <c r="G156" s="92">
        <v>26.391999999999999</v>
      </c>
      <c r="H156" s="92">
        <v>29.262</v>
      </c>
      <c r="I156" s="92">
        <v>30.376999999999999</v>
      </c>
      <c r="J156" s="92">
        <v>31.617000000000001</v>
      </c>
      <c r="K156" s="92">
        <v>33.033999999999999</v>
      </c>
    </row>
    <row r="157" spans="1:11" x14ac:dyDescent="0.2">
      <c r="A157" s="1" t="s">
        <v>259</v>
      </c>
      <c r="B157" s="1" t="str">
        <f>$B$11</f>
        <v>UIM</v>
      </c>
      <c r="C157" s="96"/>
      <c r="D157" s="96">
        <v>6.5519999999999996</v>
      </c>
      <c r="E157" s="96">
        <v>6.6660000000000004</v>
      </c>
      <c r="F157" s="96">
        <v>6.89</v>
      </c>
      <c r="G157" s="92">
        <v>7.2409999999999997</v>
      </c>
      <c r="H157" s="92">
        <v>7.54</v>
      </c>
      <c r="I157" s="92">
        <v>7.4119999999999999</v>
      </c>
      <c r="J157" s="92">
        <v>7.4219999999999997</v>
      </c>
      <c r="K157" s="92">
        <v>7.444</v>
      </c>
    </row>
    <row r="158" spans="1:11" x14ac:dyDescent="0.2">
      <c r="A158" s="1" t="s">
        <v>260</v>
      </c>
      <c r="B158" s="1" t="str">
        <f>$B$9</f>
        <v>NAC</v>
      </c>
      <c r="C158" s="96"/>
      <c r="D158" s="96">
        <v>38.298999999999999</v>
      </c>
      <c r="E158" s="96">
        <v>39.361000000000004</v>
      </c>
      <c r="F158" s="96">
        <v>40.643000000000001</v>
      </c>
      <c r="G158" s="92">
        <v>44.667000000000002</v>
      </c>
      <c r="H158" s="92">
        <v>46.893999999999998</v>
      </c>
      <c r="I158" s="92">
        <v>46.182000000000002</v>
      </c>
      <c r="J158" s="92">
        <v>46.792000000000002</v>
      </c>
      <c r="K158" s="92">
        <v>46.481000000000002</v>
      </c>
    </row>
    <row r="159" spans="1:11" x14ac:dyDescent="0.2">
      <c r="A159" s="1" t="s">
        <v>149</v>
      </c>
      <c r="B159" s="1" t="str">
        <f>$B$11</f>
        <v>UIM</v>
      </c>
      <c r="C159" s="96"/>
      <c r="D159" s="96">
        <v>3.7829999999999999</v>
      </c>
      <c r="E159" s="96">
        <v>3.59</v>
      </c>
      <c r="F159" s="96">
        <v>3.5339999999999998</v>
      </c>
      <c r="G159" s="92">
        <v>3.484</v>
      </c>
      <c r="H159" s="92">
        <v>3.4079999999999999</v>
      </c>
      <c r="I159" s="92">
        <v>3.3580000000000001</v>
      </c>
      <c r="J159" s="92">
        <v>3.5219999999999998</v>
      </c>
      <c r="K159" s="92">
        <v>3.294</v>
      </c>
    </row>
    <row r="160" spans="1:11" x14ac:dyDescent="0.2">
      <c r="A160" s="1" t="s">
        <v>150</v>
      </c>
      <c r="B160" s="1" t="str">
        <f>$B$11</f>
        <v>UIM</v>
      </c>
      <c r="C160" s="96"/>
      <c r="D160" s="96">
        <v>6.0000000000000001E-3</v>
      </c>
      <c r="E160" s="96">
        <v>0</v>
      </c>
      <c r="F160" s="96">
        <v>8.0000000000000002E-3</v>
      </c>
      <c r="G160" s="92">
        <v>0.05</v>
      </c>
      <c r="H160" s="92">
        <v>1E-3</v>
      </c>
      <c r="I160" s="92">
        <v>1E-3</v>
      </c>
      <c r="J160" s="92">
        <v>1E-3</v>
      </c>
      <c r="K160" s="92">
        <v>1E-3</v>
      </c>
    </row>
    <row r="161" spans="1:11" ht="15" x14ac:dyDescent="0.25">
      <c r="A161" s="26" t="s">
        <v>247</v>
      </c>
      <c r="B161" s="1" t="str">
        <f>$B$9</f>
        <v>NAC</v>
      </c>
      <c r="C161" s="96"/>
      <c r="D161" s="99">
        <v>72.363</v>
      </c>
      <c r="E161" s="99">
        <v>73.929000000000016</v>
      </c>
      <c r="F161" s="99">
        <v>76.338999999999999</v>
      </c>
      <c r="G161" s="100">
        <v>81.72</v>
      </c>
      <c r="H161" s="100">
        <v>86.72</v>
      </c>
      <c r="I161" s="100">
        <v>90.075000000000003</v>
      </c>
      <c r="J161" s="100">
        <v>94.715000000000003</v>
      </c>
      <c r="K161" s="100">
        <v>98.108000000000004</v>
      </c>
    </row>
    <row r="162" spans="1:11" ht="15" x14ac:dyDescent="0.25">
      <c r="A162" s="26" t="s">
        <v>1191</v>
      </c>
      <c r="C162" s="96"/>
      <c r="D162" s="101" t="str">
        <f t="shared" ref="D162:K162" si="34">IF(ROUND(D$161-SUM(D$21:D$22,D$156:D$160),3)=0,"OK","ERROR")</f>
        <v>OK</v>
      </c>
      <c r="E162" s="101" t="str">
        <f t="shared" si="34"/>
        <v>OK</v>
      </c>
      <c r="F162" s="101" t="str">
        <f t="shared" si="34"/>
        <v>OK</v>
      </c>
      <c r="G162" s="102" t="str">
        <f t="shared" si="34"/>
        <v>OK</v>
      </c>
      <c r="H162" s="102" t="str">
        <f t="shared" si="34"/>
        <v>OK</v>
      </c>
      <c r="I162" s="102" t="str">
        <f t="shared" si="34"/>
        <v>OK</v>
      </c>
      <c r="J162" s="102" t="str">
        <f t="shared" si="34"/>
        <v>OK</v>
      </c>
      <c r="K162" s="102" t="str">
        <f t="shared" si="34"/>
        <v>OK</v>
      </c>
    </row>
    <row r="163" spans="1:11" x14ac:dyDescent="0.2">
      <c r="A163" s="1" t="s">
        <v>156</v>
      </c>
      <c r="B163" s="1" t="str">
        <f>$B$11</f>
        <v>UIM</v>
      </c>
      <c r="C163" s="96"/>
      <c r="D163" s="96">
        <v>3.6700000000000004</v>
      </c>
      <c r="E163" s="96">
        <v>-3.2589999999999999</v>
      </c>
      <c r="F163" s="96">
        <v>6.3140000000000001</v>
      </c>
      <c r="G163" s="92">
        <v>3.7170000000000001</v>
      </c>
      <c r="H163" s="92">
        <v>2.7440000000000002</v>
      </c>
      <c r="I163" s="92">
        <v>3.0379999999999998</v>
      </c>
      <c r="J163" s="92">
        <v>3.4079999999999999</v>
      </c>
      <c r="K163" s="92">
        <v>3.8559999999999999</v>
      </c>
    </row>
    <row r="164" spans="1:11" x14ac:dyDescent="0.2">
      <c r="A164" s="1" t="s">
        <v>261</v>
      </c>
      <c r="B164" s="1" t="str">
        <f>$B$11</f>
        <v>UIM</v>
      </c>
      <c r="C164" s="96"/>
      <c r="D164" s="96">
        <v>0.35899999999999999</v>
      </c>
      <c r="E164" s="96">
        <v>0.155</v>
      </c>
      <c r="F164" s="96">
        <v>0.307</v>
      </c>
      <c r="G164" s="92">
        <v>0.113</v>
      </c>
      <c r="H164" s="92">
        <v>0.125</v>
      </c>
      <c r="I164" s="92">
        <v>0.123</v>
      </c>
      <c r="J164" s="92">
        <v>0.122</v>
      </c>
      <c r="K164" s="92">
        <v>0.121</v>
      </c>
    </row>
    <row r="165" spans="1:11" ht="15" x14ac:dyDescent="0.25">
      <c r="A165" s="26" t="s">
        <v>262</v>
      </c>
      <c r="B165" s="1" t="str">
        <f>$B$9</f>
        <v>NAC</v>
      </c>
      <c r="C165" s="96"/>
      <c r="D165" s="99">
        <v>3.879</v>
      </c>
      <c r="E165" s="99">
        <v>-0.91200000000000003</v>
      </c>
      <c r="F165" s="99">
        <v>12.064</v>
      </c>
      <c r="G165" s="100">
        <v>8.0690000000000008</v>
      </c>
      <c r="H165" s="100">
        <v>7.1139999999999999</v>
      </c>
      <c r="I165" s="100">
        <v>9.3070000000000004</v>
      </c>
      <c r="J165" s="100">
        <v>9.9930000000000003</v>
      </c>
      <c r="K165" s="100">
        <v>12.128</v>
      </c>
    </row>
    <row r="166" spans="1:11" ht="15" x14ac:dyDescent="0.25">
      <c r="A166" s="26" t="s">
        <v>263</v>
      </c>
      <c r="C166" s="96"/>
      <c r="D166" s="101" t="str">
        <f t="shared" ref="D166:K166" si="35">IF(ROUND(D$165-(D$154-D$161+D$163+D$164),3)=0,"OK","ERROR")</f>
        <v>OK</v>
      </c>
      <c r="E166" s="101" t="str">
        <f t="shared" si="35"/>
        <v>OK</v>
      </c>
      <c r="F166" s="101" t="str">
        <f t="shared" si="35"/>
        <v>OK</v>
      </c>
      <c r="G166" s="102" t="str">
        <f t="shared" si="35"/>
        <v>OK</v>
      </c>
      <c r="H166" s="102" t="str">
        <f t="shared" si="35"/>
        <v>OK</v>
      </c>
      <c r="I166" s="102" t="str">
        <f t="shared" si="35"/>
        <v>OK</v>
      </c>
      <c r="J166" s="102" t="str">
        <f t="shared" si="35"/>
        <v>OK</v>
      </c>
      <c r="K166" s="102" t="str">
        <f t="shared" si="35"/>
        <v>OK</v>
      </c>
    </row>
    <row r="167" spans="1:11" ht="15" x14ac:dyDescent="0.25">
      <c r="A167" s="1" t="s">
        <v>212</v>
      </c>
      <c r="B167" s="1" t="str">
        <f>$B$11</f>
        <v>UIM</v>
      </c>
      <c r="C167" s="99">
        <v>8.2270000000000003</v>
      </c>
      <c r="D167" s="96">
        <v>8.8819999999999997</v>
      </c>
      <c r="E167" s="96">
        <v>11.88</v>
      </c>
      <c r="F167" s="96">
        <v>15.791</v>
      </c>
      <c r="G167" s="92">
        <v>15.188000000000001</v>
      </c>
      <c r="H167" s="92">
        <v>14.591999999999999</v>
      </c>
      <c r="I167" s="92">
        <v>14.381</v>
      </c>
      <c r="J167" s="92">
        <v>14.157</v>
      </c>
      <c r="K167" s="92">
        <v>13.911999999999999</v>
      </c>
    </row>
    <row r="168" spans="1:11" x14ac:dyDescent="0.2">
      <c r="A168" s="1" t="s">
        <v>213</v>
      </c>
      <c r="B168" s="1" t="str">
        <f>$B$11</f>
        <v>UIM</v>
      </c>
      <c r="C168" s="96"/>
      <c r="D168" s="96">
        <v>12.321</v>
      </c>
      <c r="E168" s="96">
        <v>12.221</v>
      </c>
      <c r="F168" s="96">
        <v>13.826000000000001</v>
      </c>
      <c r="G168" s="92">
        <v>13.878</v>
      </c>
      <c r="H168" s="92">
        <v>14.747</v>
      </c>
      <c r="I168" s="92">
        <v>15.257</v>
      </c>
      <c r="J168" s="92">
        <v>15.806999999999999</v>
      </c>
      <c r="K168" s="92">
        <v>16.234999999999999</v>
      </c>
    </row>
    <row r="169" spans="1:11" x14ac:dyDescent="0.2">
      <c r="A169" s="1" t="s">
        <v>214</v>
      </c>
      <c r="B169" s="1" t="str">
        <f t="shared" ref="B169:B175" si="36">$B$11</f>
        <v>UIM</v>
      </c>
      <c r="C169" s="96"/>
      <c r="D169" s="96">
        <v>37.090000000000003</v>
      </c>
      <c r="E169" s="96">
        <v>34.386000000000003</v>
      </c>
      <c r="F169" s="96">
        <v>32.125999999999998</v>
      </c>
      <c r="G169" s="92">
        <v>32.860999999999997</v>
      </c>
      <c r="H169" s="92">
        <v>24.638000000000002</v>
      </c>
      <c r="I169" s="92">
        <v>26.638000000000002</v>
      </c>
      <c r="J169" s="92">
        <v>25.632000000000001</v>
      </c>
      <c r="K169" s="92">
        <v>33.427999999999997</v>
      </c>
    </row>
    <row r="170" spans="1:11" x14ac:dyDescent="0.2">
      <c r="A170" s="1" t="s">
        <v>215</v>
      </c>
      <c r="B170" s="1" t="str">
        <f t="shared" si="36"/>
        <v>UIM</v>
      </c>
      <c r="C170" s="96"/>
      <c r="D170" s="96">
        <v>15.353999999999999</v>
      </c>
      <c r="E170" s="96">
        <v>13.54</v>
      </c>
      <c r="F170" s="96">
        <v>20.09</v>
      </c>
      <c r="G170" s="92">
        <v>24.524000000000001</v>
      </c>
      <c r="H170" s="92">
        <v>27.184000000000001</v>
      </c>
      <c r="I170" s="92">
        <v>30.484999999999999</v>
      </c>
      <c r="J170" s="92">
        <v>34.569000000000003</v>
      </c>
      <c r="K170" s="92">
        <v>39.168999999999997</v>
      </c>
    </row>
    <row r="171" spans="1:11" x14ac:dyDescent="0.2">
      <c r="A171" s="1" t="s">
        <v>216</v>
      </c>
      <c r="B171" s="1" t="str">
        <f t="shared" si="36"/>
        <v>UIM</v>
      </c>
      <c r="C171" s="96"/>
      <c r="D171" s="96">
        <v>15.108000000000001</v>
      </c>
      <c r="E171" s="96">
        <v>15.987</v>
      </c>
      <c r="F171" s="96">
        <v>13.007999999999999</v>
      </c>
      <c r="G171" s="92">
        <v>12.996</v>
      </c>
      <c r="H171" s="92">
        <v>13.039</v>
      </c>
      <c r="I171" s="92">
        <v>13.005000000000001</v>
      </c>
      <c r="J171" s="92">
        <v>12.864000000000001</v>
      </c>
      <c r="K171" s="92">
        <v>12.62</v>
      </c>
    </row>
    <row r="172" spans="1:11" ht="15" x14ac:dyDescent="0.25">
      <c r="A172" s="1" t="s">
        <v>219</v>
      </c>
      <c r="B172" s="1" t="str">
        <f t="shared" si="36"/>
        <v>UIM</v>
      </c>
      <c r="C172" s="99">
        <v>30.963000000000001</v>
      </c>
      <c r="D172" s="96">
        <v>32.289000000000001</v>
      </c>
      <c r="E172" s="96">
        <v>35.697000000000003</v>
      </c>
      <c r="F172" s="96">
        <v>39.220999999999997</v>
      </c>
      <c r="G172" s="92">
        <v>40.686</v>
      </c>
      <c r="H172" s="92">
        <v>41.689</v>
      </c>
      <c r="I172" s="92">
        <v>42.783999999999999</v>
      </c>
      <c r="J172" s="92">
        <v>44.066000000000003</v>
      </c>
      <c r="K172" s="92">
        <v>44.116999999999997</v>
      </c>
    </row>
    <row r="173" spans="1:11" x14ac:dyDescent="0.2">
      <c r="A173" s="1" t="s">
        <v>220</v>
      </c>
      <c r="B173" s="1" t="str">
        <f t="shared" si="36"/>
        <v>UIM</v>
      </c>
      <c r="C173" s="96"/>
      <c r="D173" s="96">
        <v>34.883000000000003</v>
      </c>
      <c r="E173" s="96">
        <v>38.375999999999998</v>
      </c>
      <c r="F173" s="96">
        <v>43.000999999999998</v>
      </c>
      <c r="G173" s="92">
        <v>45.982999999999997</v>
      </c>
      <c r="H173" s="92">
        <v>50.097999999999999</v>
      </c>
      <c r="I173" s="92">
        <v>52.554000000000002</v>
      </c>
      <c r="J173" s="92">
        <v>54.573</v>
      </c>
      <c r="K173" s="92">
        <v>56.155000000000001</v>
      </c>
    </row>
    <row r="174" spans="1:11" x14ac:dyDescent="0.2">
      <c r="A174" s="1" t="s">
        <v>221</v>
      </c>
      <c r="B174" s="1" t="str">
        <f t="shared" si="36"/>
        <v>UIM</v>
      </c>
      <c r="C174" s="96"/>
      <c r="D174" s="96">
        <v>1.2390000000000001</v>
      </c>
      <c r="E174" s="96">
        <v>1.351</v>
      </c>
      <c r="F174" s="96">
        <v>1.478</v>
      </c>
      <c r="G174" s="92">
        <v>1.6919999999999999</v>
      </c>
      <c r="H174" s="92">
        <v>1.8149999999999999</v>
      </c>
      <c r="I174" s="92">
        <v>1.8879999999999999</v>
      </c>
      <c r="J174" s="92">
        <v>1.958</v>
      </c>
      <c r="K174" s="92">
        <v>1.8759999999999999</v>
      </c>
    </row>
    <row r="175" spans="1:11" x14ac:dyDescent="0.2">
      <c r="A175" s="1" t="s">
        <v>264</v>
      </c>
      <c r="B175" s="1" t="str">
        <f t="shared" si="36"/>
        <v>UIM</v>
      </c>
      <c r="C175" s="96"/>
      <c r="D175" s="96">
        <v>1.5469999999999999</v>
      </c>
      <c r="E175" s="96">
        <v>1.732</v>
      </c>
      <c r="F175" s="96">
        <v>1.835</v>
      </c>
      <c r="G175" s="92">
        <v>1.756</v>
      </c>
      <c r="H175" s="92">
        <v>1.744</v>
      </c>
      <c r="I175" s="92">
        <v>1.756</v>
      </c>
      <c r="J175" s="92">
        <v>1.76</v>
      </c>
      <c r="K175" s="92">
        <v>1.806</v>
      </c>
    </row>
    <row r="176" spans="1:11" ht="15" x14ac:dyDescent="0.25">
      <c r="A176" s="26" t="s">
        <v>265</v>
      </c>
      <c r="B176" s="1" t="str">
        <f>$B$9</f>
        <v>NAC</v>
      </c>
      <c r="C176" s="96"/>
      <c r="D176" s="99">
        <v>158.71300000000002</v>
      </c>
      <c r="E176" s="99">
        <v>165.17</v>
      </c>
      <c r="F176" s="99">
        <v>180.376</v>
      </c>
      <c r="G176" s="100">
        <v>189.26400000000001</v>
      </c>
      <c r="H176" s="100">
        <v>189.91300000000001</v>
      </c>
      <c r="I176" s="100">
        <v>200.50700000000001</v>
      </c>
      <c r="J176" s="100">
        <v>209.25200000000001</v>
      </c>
      <c r="K176" s="100">
        <v>225.893</v>
      </c>
    </row>
    <row r="177" spans="1:11" ht="15" x14ac:dyDescent="0.25">
      <c r="A177" s="26" t="s">
        <v>1192</v>
      </c>
      <c r="C177" s="96"/>
      <c r="D177" s="101" t="str">
        <f t="shared" ref="D177:K177" si="37">IF(ROUND(D$176-SUM(D$124:D$125,D$167:D$175),3)=0,"OK","ERROR")</f>
        <v>OK</v>
      </c>
      <c r="E177" s="101" t="str">
        <f t="shared" si="37"/>
        <v>OK</v>
      </c>
      <c r="F177" s="101" t="str">
        <f t="shared" si="37"/>
        <v>OK</v>
      </c>
      <c r="G177" s="102" t="str">
        <f t="shared" si="37"/>
        <v>OK</v>
      </c>
      <c r="H177" s="102" t="str">
        <f t="shared" si="37"/>
        <v>OK</v>
      </c>
      <c r="I177" s="102" t="str">
        <f t="shared" si="37"/>
        <v>OK</v>
      </c>
      <c r="J177" s="102" t="str">
        <f t="shared" si="37"/>
        <v>OK</v>
      </c>
      <c r="K177" s="102" t="str">
        <f t="shared" si="37"/>
        <v>OK</v>
      </c>
    </row>
    <row r="178" spans="1:11" x14ac:dyDescent="0.2">
      <c r="A178" s="1" t="s">
        <v>228</v>
      </c>
      <c r="B178" s="1" t="str">
        <f>$B$9</f>
        <v>NAC</v>
      </c>
      <c r="C178" s="96"/>
      <c r="D178" s="96">
        <v>95.549000000000007</v>
      </c>
      <c r="E178" s="96">
        <v>95.036000000000001</v>
      </c>
      <c r="F178" s="96">
        <v>93.73</v>
      </c>
      <c r="G178" s="92">
        <v>97.248999999999995</v>
      </c>
      <c r="H178" s="92">
        <v>91.653999999999996</v>
      </c>
      <c r="I178" s="92">
        <v>93.87</v>
      </c>
      <c r="J178" s="92">
        <v>92.787999999999997</v>
      </c>
      <c r="K178" s="92">
        <v>97.887</v>
      </c>
    </row>
    <row r="179" spans="1:11" x14ac:dyDescent="0.2">
      <c r="A179" s="1" t="s">
        <v>226</v>
      </c>
      <c r="B179" s="1" t="str">
        <f t="shared" ref="B179:B186" si="38">$B$11</f>
        <v>UIM</v>
      </c>
      <c r="C179" s="96"/>
      <c r="D179" s="96">
        <v>8.1310000000000002</v>
      </c>
      <c r="E179" s="96">
        <v>8.1579999999999995</v>
      </c>
      <c r="F179" s="96">
        <v>10.853</v>
      </c>
      <c r="G179" s="92">
        <v>7.9450000000000003</v>
      </c>
      <c r="H179" s="92">
        <v>8.218</v>
      </c>
      <c r="I179" s="92">
        <v>8.2490000000000006</v>
      </c>
      <c r="J179" s="92">
        <v>8.5380000000000003</v>
      </c>
      <c r="K179" s="92">
        <v>8.8040000000000003</v>
      </c>
    </row>
    <row r="180" spans="1:11" x14ac:dyDescent="0.2">
      <c r="A180" s="1" t="s">
        <v>227</v>
      </c>
      <c r="B180" s="1" t="str">
        <f t="shared" si="38"/>
        <v>UIM</v>
      </c>
      <c r="C180" s="96"/>
      <c r="D180" s="96">
        <v>0.57299999999999995</v>
      </c>
      <c r="E180" s="96">
        <v>0.54600000000000004</v>
      </c>
      <c r="F180" s="96">
        <v>0.50800000000000001</v>
      </c>
      <c r="G180" s="92">
        <v>0.48099999999999998</v>
      </c>
      <c r="H180" s="92">
        <v>0.45300000000000001</v>
      </c>
      <c r="I180" s="92">
        <v>0.42599999999999999</v>
      </c>
      <c r="J180" s="92">
        <v>0.4</v>
      </c>
      <c r="K180" s="92">
        <v>0.373</v>
      </c>
    </row>
    <row r="181" spans="1:11" x14ac:dyDescent="0.2">
      <c r="A181" s="1" t="s">
        <v>229</v>
      </c>
      <c r="B181" s="1" t="str">
        <f t="shared" si="38"/>
        <v>UIM</v>
      </c>
      <c r="C181" s="96"/>
      <c r="D181" s="96">
        <v>2.3E-2</v>
      </c>
      <c r="E181" s="96">
        <v>0.02</v>
      </c>
      <c r="F181" s="96">
        <v>0.02</v>
      </c>
      <c r="G181" s="92">
        <v>6.6000000000000003E-2</v>
      </c>
      <c r="H181" s="92">
        <v>2E-3</v>
      </c>
      <c r="I181" s="92">
        <v>2E-3</v>
      </c>
      <c r="J181" s="92">
        <v>2E-3</v>
      </c>
      <c r="K181" s="92">
        <v>2E-3</v>
      </c>
    </row>
    <row r="182" spans="1:11" x14ac:dyDescent="0.2">
      <c r="A182" s="1" t="s">
        <v>230</v>
      </c>
      <c r="B182" s="1" t="str">
        <f t="shared" si="38"/>
        <v>UIM</v>
      </c>
      <c r="C182" s="96"/>
      <c r="D182" s="96">
        <v>10.843999999999999</v>
      </c>
      <c r="E182" s="96">
        <v>12.443</v>
      </c>
      <c r="F182" s="96">
        <v>11.004</v>
      </c>
      <c r="G182" s="92">
        <v>10.577</v>
      </c>
      <c r="H182" s="92">
        <v>9.9849999999999994</v>
      </c>
      <c r="I182" s="92">
        <v>9.4130000000000003</v>
      </c>
      <c r="J182" s="92">
        <v>8.8729999999999993</v>
      </c>
      <c r="K182" s="92">
        <v>8.359</v>
      </c>
    </row>
    <row r="183" spans="1:11" x14ac:dyDescent="0.2">
      <c r="A183" s="1" t="s">
        <v>231</v>
      </c>
      <c r="B183" s="1" t="str">
        <f t="shared" si="38"/>
        <v>UIM</v>
      </c>
      <c r="C183" s="96"/>
      <c r="D183" s="96">
        <v>4.8550000000000004</v>
      </c>
      <c r="E183" s="96">
        <v>6.633</v>
      </c>
      <c r="F183" s="96">
        <v>6.5330000000000004</v>
      </c>
      <c r="G183" s="92">
        <v>6.6589999999999998</v>
      </c>
      <c r="H183" s="92">
        <v>5.9729999999999999</v>
      </c>
      <c r="I183" s="92">
        <v>5.3739999999999997</v>
      </c>
      <c r="J183" s="92">
        <v>5.2320000000000002</v>
      </c>
      <c r="K183" s="92">
        <v>4.657</v>
      </c>
    </row>
    <row r="184" spans="1:11" ht="15" x14ac:dyDescent="0.25">
      <c r="A184" s="26" t="s">
        <v>266</v>
      </c>
      <c r="B184" s="1" t="str">
        <f>$B$9</f>
        <v>NAC</v>
      </c>
      <c r="C184" s="96"/>
      <c r="D184" s="99">
        <v>125.31100000000001</v>
      </c>
      <c r="E184" s="99">
        <v>128.55099999999999</v>
      </c>
      <c r="F184" s="99">
        <v>128.62799999999999</v>
      </c>
      <c r="G184" s="100">
        <v>129.417</v>
      </c>
      <c r="H184" s="100">
        <v>122.92100000000001</v>
      </c>
      <c r="I184" s="100">
        <v>124.172</v>
      </c>
      <c r="J184" s="100">
        <v>122.879</v>
      </c>
      <c r="K184" s="100">
        <v>127.342</v>
      </c>
    </row>
    <row r="185" spans="1:11" ht="15" x14ac:dyDescent="0.25">
      <c r="A185" s="26" t="s">
        <v>267</v>
      </c>
      <c r="C185" s="96"/>
      <c r="D185" s="101" t="str">
        <f t="shared" ref="D185:K185" si="39">IF(ROUND(D$184-SUM(D$127,D$178:D$183),3)=0,"OK","ERROR")</f>
        <v>OK</v>
      </c>
      <c r="E185" s="101" t="str">
        <f t="shared" si="39"/>
        <v>OK</v>
      </c>
      <c r="F185" s="101" t="str">
        <f t="shared" si="39"/>
        <v>OK</v>
      </c>
      <c r="G185" s="102" t="str">
        <f t="shared" si="39"/>
        <v>OK</v>
      </c>
      <c r="H185" s="102" t="str">
        <f t="shared" si="39"/>
        <v>OK</v>
      </c>
      <c r="I185" s="102" t="str">
        <f t="shared" si="39"/>
        <v>OK</v>
      </c>
      <c r="J185" s="102" t="str">
        <f t="shared" si="39"/>
        <v>OK</v>
      </c>
      <c r="K185" s="102" t="str">
        <f t="shared" si="39"/>
        <v>OK</v>
      </c>
    </row>
    <row r="186" spans="1:11" ht="15" x14ac:dyDescent="0.25">
      <c r="A186" s="26" t="s">
        <v>268</v>
      </c>
      <c r="B186" s="1" t="str">
        <f t="shared" si="38"/>
        <v>UIM</v>
      </c>
      <c r="C186" s="96"/>
      <c r="D186" s="97">
        <f t="shared" ref="D186:K186" si="40">D$176-D$184</f>
        <v>33.402000000000015</v>
      </c>
      <c r="E186" s="97">
        <f t="shared" si="40"/>
        <v>36.619</v>
      </c>
      <c r="F186" s="97">
        <f t="shared" si="40"/>
        <v>51.748000000000019</v>
      </c>
      <c r="G186" s="98">
        <f t="shared" si="40"/>
        <v>59.847000000000008</v>
      </c>
      <c r="H186" s="98">
        <f t="shared" si="40"/>
        <v>66.992000000000004</v>
      </c>
      <c r="I186" s="98">
        <f t="shared" si="40"/>
        <v>76.335000000000008</v>
      </c>
      <c r="J186" s="98">
        <f t="shared" si="40"/>
        <v>86.373000000000005</v>
      </c>
      <c r="K186" s="98">
        <f t="shared" si="40"/>
        <v>98.551000000000002</v>
      </c>
    </row>
    <row r="187" spans="1:11" ht="15" x14ac:dyDescent="0.25">
      <c r="A187" s="26" t="s">
        <v>670</v>
      </c>
      <c r="B187" s="1" t="str">
        <f>$B$9</f>
        <v>NAC</v>
      </c>
      <c r="C187" s="96"/>
      <c r="D187" s="97">
        <f t="shared" ref="D187:K187" si="41">D$142-SUM(D$167,D$169:D$171)</f>
        <v>0</v>
      </c>
      <c r="E187" s="97">
        <f t="shared" si="41"/>
        <v>0</v>
      </c>
      <c r="F187" s="97">
        <f t="shared" si="41"/>
        <v>0</v>
      </c>
      <c r="G187" s="98">
        <f t="shared" si="41"/>
        <v>0</v>
      </c>
      <c r="H187" s="98">
        <f t="shared" si="41"/>
        <v>0</v>
      </c>
      <c r="I187" s="98">
        <f t="shared" si="41"/>
        <v>0</v>
      </c>
      <c r="J187" s="98">
        <f t="shared" si="41"/>
        <v>0</v>
      </c>
      <c r="K187" s="98">
        <f t="shared" si="41"/>
        <v>0</v>
      </c>
    </row>
    <row r="188" spans="1:11" ht="15" x14ac:dyDescent="0.25">
      <c r="A188" s="2" t="s">
        <v>305</v>
      </c>
      <c r="C188" s="96"/>
      <c r="D188" s="96"/>
      <c r="E188" s="96"/>
      <c r="F188" s="96"/>
      <c r="G188" s="92"/>
      <c r="H188" s="92"/>
      <c r="I188" s="92"/>
      <c r="J188" s="92"/>
      <c r="K188" s="92"/>
    </row>
    <row r="189" spans="1:11" x14ac:dyDescent="0.2">
      <c r="A189" s="1" t="s">
        <v>307</v>
      </c>
      <c r="B189" s="1" t="str">
        <f>$B$11</f>
        <v>UIM</v>
      </c>
      <c r="C189" s="96"/>
      <c r="D189" s="96">
        <v>4.085</v>
      </c>
      <c r="E189" s="96">
        <v>4.7050000000000001</v>
      </c>
      <c r="F189" s="96">
        <v>5.2480000000000002</v>
      </c>
      <c r="G189" s="92">
        <v>4.7830000000000004</v>
      </c>
      <c r="H189" s="92">
        <v>4.8710000000000004</v>
      </c>
      <c r="I189" s="92">
        <v>5.484</v>
      </c>
      <c r="J189" s="92">
        <v>5.9779999999999998</v>
      </c>
      <c r="K189" s="92">
        <v>6.4210000000000003</v>
      </c>
    </row>
    <row r="190" spans="1:11" x14ac:dyDescent="0.2">
      <c r="A190" s="1" t="s">
        <v>1254</v>
      </c>
      <c r="B190" s="1" t="str">
        <f>$B$11</f>
        <v>UIM</v>
      </c>
      <c r="C190" s="96"/>
      <c r="D190" s="96">
        <v>1.9E-2</v>
      </c>
      <c r="E190" s="96">
        <v>0.02</v>
      </c>
      <c r="F190" s="96">
        <v>0.16200000000000001</v>
      </c>
      <c r="G190" s="92">
        <v>7.0000000000000001E-3</v>
      </c>
      <c r="H190" s="92">
        <v>5.0000000000000001E-3</v>
      </c>
      <c r="I190" s="92">
        <v>5.0000000000000001E-3</v>
      </c>
      <c r="J190" s="92">
        <v>5.0000000000000001E-3</v>
      </c>
      <c r="K190" s="92">
        <v>5.0000000000000001E-3</v>
      </c>
    </row>
    <row r="191" spans="1:11" ht="15" x14ac:dyDescent="0.25">
      <c r="A191" s="26" t="s">
        <v>313</v>
      </c>
      <c r="C191" s="96"/>
      <c r="D191" s="101" t="str">
        <f>IF(ROUND(D$20-SUM(D$160,D$189:D$190),3)=0,"OK","ERROR")</f>
        <v>OK</v>
      </c>
      <c r="E191" s="101" t="str">
        <f t="shared" ref="E191:K191" si="42">IF(ROUND(E$20-SUM(E$160,E$189:E$190),3)=0,"OK","ERROR")</f>
        <v>OK</v>
      </c>
      <c r="F191" s="101" t="str">
        <f t="shared" si="42"/>
        <v>OK</v>
      </c>
      <c r="G191" s="102" t="str">
        <f t="shared" si="42"/>
        <v>OK</v>
      </c>
      <c r="H191" s="102" t="str">
        <f t="shared" si="42"/>
        <v>OK</v>
      </c>
      <c r="I191" s="102" t="str">
        <f t="shared" si="42"/>
        <v>OK</v>
      </c>
      <c r="J191" s="102" t="str">
        <f t="shared" si="42"/>
        <v>OK</v>
      </c>
      <c r="K191" s="102" t="str">
        <f t="shared" si="42"/>
        <v>OK</v>
      </c>
    </row>
    <row r="192" spans="1:11" x14ac:dyDescent="0.2">
      <c r="A192" s="1" t="s">
        <v>306</v>
      </c>
      <c r="B192" s="1" t="str">
        <f t="shared" ref="B192:B203" si="43">$B$11</f>
        <v>UIM</v>
      </c>
      <c r="C192" s="96"/>
      <c r="D192" s="96">
        <v>5.2460000000000004</v>
      </c>
      <c r="E192" s="96">
        <v>5.36</v>
      </c>
      <c r="F192" s="96">
        <v>5.8520000000000003</v>
      </c>
      <c r="G192" s="92">
        <v>6.0389999999999997</v>
      </c>
      <c r="H192" s="92">
        <v>6.16</v>
      </c>
      <c r="I192" s="92">
        <v>6.6509999999999998</v>
      </c>
      <c r="J192" s="92">
        <v>7.09</v>
      </c>
      <c r="K192" s="92">
        <v>7.5369999999999999</v>
      </c>
    </row>
    <row r="193" spans="1:11" x14ac:dyDescent="0.2">
      <c r="A193" s="1" t="s">
        <v>309</v>
      </c>
      <c r="B193" s="1" t="str">
        <f t="shared" si="43"/>
        <v>UIM</v>
      </c>
      <c r="C193" s="96"/>
      <c r="D193" s="96">
        <v>12.922000000000001</v>
      </c>
      <c r="E193" s="96">
        <v>13.347</v>
      </c>
      <c r="F193" s="96">
        <v>13.955</v>
      </c>
      <c r="G193" s="92">
        <v>14.637</v>
      </c>
      <c r="H193" s="92">
        <v>15.157999999999999</v>
      </c>
      <c r="I193" s="92">
        <v>15.186</v>
      </c>
      <c r="J193" s="92">
        <v>15.101000000000001</v>
      </c>
      <c r="K193" s="92">
        <v>15.156000000000001</v>
      </c>
    </row>
    <row r="194" spans="1:11" x14ac:dyDescent="0.2">
      <c r="A194" s="1" t="s">
        <v>310</v>
      </c>
      <c r="B194" s="1" t="str">
        <f t="shared" si="43"/>
        <v>UIM</v>
      </c>
      <c r="C194" s="96"/>
      <c r="D194" s="96">
        <v>9.8529999999999998</v>
      </c>
      <c r="E194" s="96">
        <v>10.16</v>
      </c>
      <c r="F194" s="96">
        <v>10.432</v>
      </c>
      <c r="G194" s="92">
        <v>10.97</v>
      </c>
      <c r="H194" s="92">
        <v>11.371</v>
      </c>
      <c r="I194" s="92">
        <v>11.407</v>
      </c>
      <c r="J194" s="92">
        <v>11.6</v>
      </c>
      <c r="K194" s="92">
        <v>11.544</v>
      </c>
    </row>
    <row r="195" spans="1:11" x14ac:dyDescent="0.2">
      <c r="A195" s="1" t="s">
        <v>311</v>
      </c>
      <c r="B195" s="1" t="str">
        <f t="shared" si="43"/>
        <v>UIM</v>
      </c>
      <c r="C195" s="96"/>
      <c r="D195" s="96">
        <v>2.5640000000000001</v>
      </c>
      <c r="E195" s="96">
        <v>2.6579999999999999</v>
      </c>
      <c r="F195" s="96">
        <v>2.625</v>
      </c>
      <c r="G195" s="92">
        <v>2.8010000000000002</v>
      </c>
      <c r="H195" s="92">
        <v>3.0539999999999998</v>
      </c>
      <c r="I195" s="92">
        <v>2.948</v>
      </c>
      <c r="J195" s="92">
        <v>3.298</v>
      </c>
      <c r="K195" s="92">
        <v>2.9420000000000002</v>
      </c>
    </row>
    <row r="196" spans="1:11" x14ac:dyDescent="0.2">
      <c r="A196" s="1" t="s">
        <v>308</v>
      </c>
      <c r="B196" s="1" t="str">
        <f t="shared" si="43"/>
        <v>UIM</v>
      </c>
      <c r="C196" s="96"/>
      <c r="D196" s="96">
        <v>6.9189999999999996</v>
      </c>
      <c r="E196" s="96">
        <v>7.0590000000000002</v>
      </c>
      <c r="F196" s="96">
        <v>6.9619999999999997</v>
      </c>
      <c r="G196" s="92">
        <v>7.6040000000000001</v>
      </c>
      <c r="H196" s="92">
        <v>8.0909999999999993</v>
      </c>
      <c r="I196" s="92">
        <v>8.3070000000000004</v>
      </c>
      <c r="J196" s="92">
        <v>8.6539999999999999</v>
      </c>
      <c r="K196" s="92">
        <v>9.0239999999999991</v>
      </c>
    </row>
    <row r="197" spans="1:11" x14ac:dyDescent="0.2">
      <c r="A197" s="1" t="s">
        <v>1193</v>
      </c>
      <c r="B197" s="1" t="str">
        <f t="shared" si="43"/>
        <v>UIM</v>
      </c>
      <c r="C197" s="96"/>
      <c r="D197" s="96">
        <v>4.8250000000000002</v>
      </c>
      <c r="E197" s="96">
        <v>5.6840000000000002</v>
      </c>
      <c r="F197" s="96">
        <v>6.4420000000000002</v>
      </c>
      <c r="G197" s="92">
        <v>6.4039999999999999</v>
      </c>
      <c r="H197" s="92">
        <v>6.54</v>
      </c>
      <c r="I197" s="92">
        <v>6.7389999999999999</v>
      </c>
      <c r="J197" s="92">
        <v>7.04</v>
      </c>
      <c r="K197" s="92">
        <v>6.9370000000000003</v>
      </c>
    </row>
    <row r="198" spans="1:11" x14ac:dyDescent="0.2">
      <c r="A198" s="1" t="s">
        <v>1194</v>
      </c>
      <c r="B198" s="1" t="str">
        <f t="shared" si="43"/>
        <v>UIM</v>
      </c>
      <c r="C198" s="96"/>
      <c r="D198" s="96">
        <v>7.01</v>
      </c>
      <c r="E198" s="96">
        <v>5.9950000000000001</v>
      </c>
      <c r="F198" s="96">
        <v>6.6210000000000004</v>
      </c>
      <c r="G198" s="92">
        <v>7.6070000000000002</v>
      </c>
      <c r="H198" s="92">
        <v>7.431</v>
      </c>
      <c r="I198" s="92">
        <v>7.7779999999999996</v>
      </c>
      <c r="J198" s="92">
        <v>7.8760000000000003</v>
      </c>
      <c r="K198" s="92">
        <v>8.0630000000000006</v>
      </c>
    </row>
    <row r="199" spans="1:11" x14ac:dyDescent="0.2">
      <c r="A199" s="1" t="s">
        <v>312</v>
      </c>
      <c r="B199" s="1" t="str">
        <f t="shared" si="43"/>
        <v>UIM</v>
      </c>
      <c r="C199" s="96"/>
      <c r="D199" s="96">
        <v>-2.698</v>
      </c>
      <c r="E199" s="96">
        <v>-2.7010000000000001</v>
      </c>
      <c r="F199" s="96">
        <v>-2.96</v>
      </c>
      <c r="G199" s="92">
        <v>-3.4580000000000002</v>
      </c>
      <c r="H199" s="92">
        <v>-3.5209999999999999</v>
      </c>
      <c r="I199" s="92">
        <v>-3.4359999999999999</v>
      </c>
      <c r="J199" s="92">
        <v>-3.5339999999999998</v>
      </c>
      <c r="K199" s="92">
        <v>-3.468</v>
      </c>
    </row>
    <row r="200" spans="1:11" x14ac:dyDescent="0.2">
      <c r="A200" s="1" t="s">
        <v>554</v>
      </c>
      <c r="B200" s="1" t="str">
        <f t="shared" si="43"/>
        <v>UIM</v>
      </c>
      <c r="C200" s="96"/>
      <c r="D200" s="96">
        <v>25.789000000000001</v>
      </c>
      <c r="E200" s="96">
        <v>27.709</v>
      </c>
      <c r="F200" s="96">
        <v>28.38</v>
      </c>
      <c r="G200" s="92">
        <v>28.975999999999999</v>
      </c>
      <c r="H200" s="92">
        <v>29.795000000000002</v>
      </c>
      <c r="I200" s="92">
        <v>30.686</v>
      </c>
      <c r="J200" s="92">
        <v>31.445</v>
      </c>
      <c r="K200" s="92">
        <v>32.411999999999999</v>
      </c>
    </row>
    <row r="201" spans="1:11" x14ac:dyDescent="0.2">
      <c r="A201" s="1" t="s">
        <v>555</v>
      </c>
      <c r="B201" s="1" t="str">
        <f t="shared" si="43"/>
        <v>UIM</v>
      </c>
      <c r="C201" s="96"/>
      <c r="D201" s="96">
        <v>3.8119999999999998</v>
      </c>
      <c r="E201" s="96">
        <v>3.7709999999999999</v>
      </c>
      <c r="F201" s="96">
        <v>3.8250000000000002</v>
      </c>
      <c r="G201" s="92">
        <v>3.4529999999999998</v>
      </c>
      <c r="H201" s="92">
        <v>3.601</v>
      </c>
      <c r="I201" s="92">
        <v>3.5910000000000002</v>
      </c>
      <c r="J201" s="92">
        <v>3.7679999999999998</v>
      </c>
      <c r="K201" s="92">
        <v>3.83</v>
      </c>
    </row>
    <row r="202" spans="1:11" x14ac:dyDescent="0.2">
      <c r="A202" s="1" t="s">
        <v>556</v>
      </c>
      <c r="B202" s="1" t="str">
        <f t="shared" si="43"/>
        <v>UIM</v>
      </c>
      <c r="C202" s="96"/>
      <c r="D202" s="96">
        <v>10.454000000000001</v>
      </c>
      <c r="E202" s="96">
        <v>11</v>
      </c>
      <c r="F202" s="96">
        <v>11.634</v>
      </c>
      <c r="G202" s="92">
        <v>12.802</v>
      </c>
      <c r="H202" s="92">
        <v>13.058</v>
      </c>
      <c r="I202" s="92">
        <v>13.423999999999999</v>
      </c>
      <c r="J202" s="92">
        <v>13.766999999999999</v>
      </c>
      <c r="K202" s="92">
        <v>14.11</v>
      </c>
    </row>
    <row r="203" spans="1:11" x14ac:dyDescent="0.2">
      <c r="A203" s="1" t="s">
        <v>557</v>
      </c>
      <c r="B203" s="1" t="str">
        <f t="shared" si="43"/>
        <v>UIM</v>
      </c>
      <c r="C203" s="96"/>
      <c r="D203" s="96">
        <v>5.8000000000000003E-2</v>
      </c>
      <c r="E203" s="96">
        <v>8.5999999999999993E-2</v>
      </c>
      <c r="F203" s="96">
        <v>5.8999999999999997E-2</v>
      </c>
      <c r="G203" s="92">
        <v>6.5000000000000002E-2</v>
      </c>
      <c r="H203" s="92">
        <v>8.1000000000000003E-2</v>
      </c>
      <c r="I203" s="92">
        <v>8.1000000000000003E-2</v>
      </c>
      <c r="J203" s="92">
        <v>8.2000000000000003E-2</v>
      </c>
      <c r="K203" s="92">
        <v>8.2000000000000003E-2</v>
      </c>
    </row>
    <row r="204" spans="1:11" ht="15" x14ac:dyDescent="0.25">
      <c r="A204" s="2" t="s">
        <v>248</v>
      </c>
      <c r="C204" s="96"/>
      <c r="D204" s="96"/>
      <c r="E204" s="96"/>
      <c r="F204" s="96"/>
      <c r="G204" s="96"/>
      <c r="H204" s="96"/>
      <c r="I204" s="96"/>
      <c r="J204" s="96"/>
      <c r="K204" s="96"/>
    </row>
    <row r="205" spans="1:11" ht="15" x14ac:dyDescent="0.25">
      <c r="A205" s="26" t="s">
        <v>249</v>
      </c>
      <c r="C205" s="96"/>
      <c r="D205" s="96"/>
      <c r="E205" s="96"/>
      <c r="F205" s="96"/>
      <c r="G205" s="92"/>
      <c r="H205" s="92"/>
      <c r="I205" s="92"/>
      <c r="J205" s="92"/>
      <c r="K205" s="92"/>
    </row>
    <row r="206" spans="1:11" x14ac:dyDescent="0.2">
      <c r="A206" s="1" t="s">
        <v>250</v>
      </c>
      <c r="B206" s="1" t="str">
        <f>$B$11</f>
        <v>UIM</v>
      </c>
      <c r="C206" s="96"/>
      <c r="D206" s="96">
        <v>25.309000000000001</v>
      </c>
      <c r="E206" s="96">
        <v>27.018999999999998</v>
      </c>
      <c r="F206" s="96">
        <v>28.640999999999998</v>
      </c>
      <c r="G206" s="92">
        <v>30.38</v>
      </c>
      <c r="H206" s="92">
        <v>32.247999999999998</v>
      </c>
      <c r="I206" s="92">
        <v>34.231999999999999</v>
      </c>
      <c r="J206" s="92">
        <v>36.298999999999999</v>
      </c>
      <c r="K206" s="92">
        <v>38.459000000000003</v>
      </c>
    </row>
    <row r="207" spans="1:11" x14ac:dyDescent="0.2">
      <c r="A207" s="1" t="s">
        <v>251</v>
      </c>
      <c r="B207" s="1" t="str">
        <f>$B$11</f>
        <v>UIM</v>
      </c>
      <c r="C207" s="96"/>
      <c r="D207" s="96">
        <v>10.295999999999999</v>
      </c>
      <c r="E207" s="96">
        <v>11.054</v>
      </c>
      <c r="F207" s="96">
        <v>12.629</v>
      </c>
      <c r="G207" s="92">
        <v>13.076000000000001</v>
      </c>
      <c r="H207" s="92">
        <v>13.763</v>
      </c>
      <c r="I207" s="92">
        <v>14.5</v>
      </c>
      <c r="J207" s="92">
        <v>15.141999999999999</v>
      </c>
      <c r="K207" s="92">
        <v>15.881</v>
      </c>
    </row>
    <row r="208" spans="1:11" x14ac:dyDescent="0.2">
      <c r="A208" s="1" t="s">
        <v>252</v>
      </c>
      <c r="B208" s="1" t="str">
        <f>$B$11</f>
        <v>UIM</v>
      </c>
      <c r="C208" s="96"/>
      <c r="D208" s="96">
        <v>17.169</v>
      </c>
      <c r="E208" s="96">
        <v>18.207999999999998</v>
      </c>
      <c r="F208" s="96">
        <v>19.507999999999999</v>
      </c>
      <c r="G208" s="92">
        <v>20.690999999999999</v>
      </c>
      <c r="H208" s="92">
        <v>21.969000000000001</v>
      </c>
      <c r="I208" s="92">
        <v>23.013000000000002</v>
      </c>
      <c r="J208" s="92">
        <v>24.103000000000002</v>
      </c>
      <c r="K208" s="92">
        <v>25.225000000000001</v>
      </c>
    </row>
    <row r="209" spans="1:11" x14ac:dyDescent="0.2">
      <c r="A209" s="1" t="s">
        <v>253</v>
      </c>
      <c r="B209" s="1" t="str">
        <f>$B$11</f>
        <v>UIM</v>
      </c>
      <c r="C209" s="96"/>
      <c r="D209" s="96">
        <v>3.2029999999999998</v>
      </c>
      <c r="E209" s="96">
        <v>3.4710000000000001</v>
      </c>
      <c r="F209" s="96">
        <v>3.6</v>
      </c>
      <c r="G209" s="92">
        <v>3.653</v>
      </c>
      <c r="H209" s="92">
        <v>3.694</v>
      </c>
      <c r="I209" s="92">
        <v>3.7440000000000002</v>
      </c>
      <c r="J209" s="92">
        <v>3.806</v>
      </c>
      <c r="K209" s="92">
        <v>3.867</v>
      </c>
    </row>
    <row r="210" spans="1:11" x14ac:dyDescent="0.2">
      <c r="A210" s="1" t="s">
        <v>254</v>
      </c>
      <c r="B210" s="1" t="str">
        <f>$B$11</f>
        <v>UIM</v>
      </c>
      <c r="C210" s="96"/>
      <c r="D210" s="96">
        <v>10.078000000000001</v>
      </c>
      <c r="E210" s="96">
        <v>9.9160000000000004</v>
      </c>
      <c r="F210" s="96">
        <v>10.595000000000001</v>
      </c>
      <c r="G210" s="92">
        <v>11.025</v>
      </c>
      <c r="H210" s="92">
        <v>11.567</v>
      </c>
      <c r="I210" s="92">
        <v>12.698</v>
      </c>
      <c r="J210" s="92">
        <v>13.669999999999998</v>
      </c>
      <c r="K210" s="92">
        <v>14.614999999999998</v>
      </c>
    </row>
    <row r="211" spans="1:11" ht="15" x14ac:dyDescent="0.25">
      <c r="A211" s="26" t="s">
        <v>255</v>
      </c>
      <c r="C211" s="96"/>
      <c r="D211" s="101" t="str">
        <f t="shared" ref="D211:K211" si="44">IF(ROUND(D$9-SUM(D$206:D$210),3)=0,"OK","ERROR")</f>
        <v>OK</v>
      </c>
      <c r="E211" s="101" t="str">
        <f t="shared" si="44"/>
        <v>OK</v>
      </c>
      <c r="F211" s="101" t="str">
        <f t="shared" si="44"/>
        <v>OK</v>
      </c>
      <c r="G211" s="102" t="str">
        <f t="shared" si="44"/>
        <v>OK</v>
      </c>
      <c r="H211" s="102" t="str">
        <f t="shared" si="44"/>
        <v>OK</v>
      </c>
      <c r="I211" s="102" t="str">
        <f t="shared" si="44"/>
        <v>OK</v>
      </c>
      <c r="J211" s="102" t="str">
        <f t="shared" si="44"/>
        <v>OK</v>
      </c>
      <c r="K211" s="102" t="str">
        <f t="shared" si="44"/>
        <v>OK</v>
      </c>
    </row>
    <row r="212" spans="1:11" ht="15" x14ac:dyDescent="0.25">
      <c r="A212" s="26" t="s">
        <v>269</v>
      </c>
      <c r="C212" s="96"/>
      <c r="D212" s="104"/>
      <c r="E212" s="104"/>
      <c r="F212" s="104"/>
      <c r="G212" s="105"/>
      <c r="H212" s="105"/>
      <c r="I212" s="105"/>
      <c r="J212" s="105"/>
      <c r="K212" s="105"/>
    </row>
    <row r="213" spans="1:11" x14ac:dyDescent="0.2">
      <c r="A213" s="1" t="s">
        <v>256</v>
      </c>
      <c r="B213" s="1" t="str">
        <f>$B$11</f>
        <v>UIM</v>
      </c>
      <c r="C213" s="96"/>
      <c r="D213" s="96">
        <v>3.2759999999999998</v>
      </c>
      <c r="E213" s="96">
        <v>2.819</v>
      </c>
      <c r="F213" s="96">
        <v>2.8820000000000001</v>
      </c>
      <c r="G213" s="92">
        <v>2.7210000000000001</v>
      </c>
      <c r="H213" s="92">
        <v>2.8740000000000001</v>
      </c>
      <c r="I213" s="92">
        <v>3.262</v>
      </c>
      <c r="J213" s="92">
        <v>3.456</v>
      </c>
      <c r="K213" s="92">
        <v>3.694</v>
      </c>
    </row>
    <row r="214" spans="1:11" x14ac:dyDescent="0.2">
      <c r="A214" s="1" t="s">
        <v>271</v>
      </c>
      <c r="B214" s="1" t="str">
        <f>$B$11</f>
        <v>UIM</v>
      </c>
      <c r="C214" s="96"/>
      <c r="D214" s="96">
        <v>1.677</v>
      </c>
      <c r="E214" s="96">
        <v>1.8240000000000001</v>
      </c>
      <c r="F214" s="96">
        <v>2.1989999999999998</v>
      </c>
      <c r="G214" s="92">
        <v>2.5190000000000001</v>
      </c>
      <c r="H214" s="92">
        <v>2.7589999999999999</v>
      </c>
      <c r="I214" s="92">
        <v>2.8439999999999999</v>
      </c>
      <c r="J214" s="92">
        <v>2.9169999999999998</v>
      </c>
      <c r="K214" s="92">
        <v>2.984</v>
      </c>
    </row>
    <row r="215" spans="1:11" ht="15" x14ac:dyDescent="0.25">
      <c r="A215" s="26" t="s">
        <v>270</v>
      </c>
      <c r="C215" s="96"/>
      <c r="D215" s="101" t="str">
        <f t="shared" ref="D215:K215" si="45">IF(ROUND(D$10-SUM(D$213,D$214),3)=0,"OK","ERROR")</f>
        <v>OK</v>
      </c>
      <c r="E215" s="101" t="str">
        <f t="shared" si="45"/>
        <v>OK</v>
      </c>
      <c r="F215" s="101" t="str">
        <f t="shared" si="45"/>
        <v>OK</v>
      </c>
      <c r="G215" s="102" t="str">
        <f t="shared" si="45"/>
        <v>OK</v>
      </c>
      <c r="H215" s="102" t="str">
        <f t="shared" si="45"/>
        <v>OK</v>
      </c>
      <c r="I215" s="102" t="str">
        <f t="shared" si="45"/>
        <v>OK</v>
      </c>
      <c r="J215" s="102" t="str">
        <f t="shared" si="45"/>
        <v>OK</v>
      </c>
      <c r="K215" s="102" t="str">
        <f t="shared" si="45"/>
        <v>OK</v>
      </c>
    </row>
    <row r="216" spans="1:11" ht="15" x14ac:dyDescent="0.25">
      <c r="A216" s="26" t="s">
        <v>1245</v>
      </c>
      <c r="C216" s="96"/>
      <c r="D216" s="96"/>
      <c r="E216" s="96"/>
      <c r="F216" s="96"/>
      <c r="G216" s="92"/>
      <c r="H216" s="92"/>
      <c r="I216" s="92"/>
      <c r="J216" s="92"/>
      <c r="K216" s="92"/>
    </row>
    <row r="217" spans="1:11" x14ac:dyDescent="0.2">
      <c r="A217" s="1" t="s">
        <v>272</v>
      </c>
      <c r="B217" s="1" t="str">
        <f>$B$11</f>
        <v>UIM</v>
      </c>
      <c r="C217" s="96"/>
      <c r="D217" s="96">
        <v>1.109</v>
      </c>
      <c r="E217" s="96">
        <v>1.091</v>
      </c>
      <c r="F217" s="96">
        <v>0.998</v>
      </c>
      <c r="G217" s="92">
        <v>1.0369999999999999</v>
      </c>
      <c r="H217" s="92">
        <v>1.0589999999999999</v>
      </c>
      <c r="I217" s="92">
        <v>1.079</v>
      </c>
      <c r="J217" s="92">
        <v>1.083</v>
      </c>
      <c r="K217" s="92">
        <v>1.0820000000000001</v>
      </c>
    </row>
    <row r="218" spans="1:11" x14ac:dyDescent="0.2">
      <c r="A218" s="1" t="s">
        <v>273</v>
      </c>
      <c r="B218" s="1" t="str">
        <f>$B$11</f>
        <v>UIM</v>
      </c>
      <c r="C218" s="96"/>
      <c r="D218" s="96">
        <v>1.0429999999999999</v>
      </c>
      <c r="E218" s="96">
        <v>0.997</v>
      </c>
      <c r="F218" s="96">
        <v>0.91800000000000004</v>
      </c>
      <c r="G218" s="92">
        <v>0.95699999999999996</v>
      </c>
      <c r="H218" s="92">
        <v>1.008</v>
      </c>
      <c r="I218" s="92">
        <v>1.071</v>
      </c>
      <c r="J218" s="92">
        <v>1.125</v>
      </c>
      <c r="K218" s="92">
        <v>1.159</v>
      </c>
    </row>
    <row r="219" spans="1:11" x14ac:dyDescent="0.2">
      <c r="A219" s="1" t="s">
        <v>274</v>
      </c>
      <c r="B219" s="1" t="str">
        <f>$B$11</f>
        <v>UIM</v>
      </c>
      <c r="C219" s="96"/>
      <c r="D219" s="96">
        <v>-0.49099999999999999</v>
      </c>
      <c r="E219" s="96">
        <v>-0.4</v>
      </c>
      <c r="F219" s="96">
        <v>-0.308</v>
      </c>
      <c r="G219" s="92">
        <v>-0.39700000000000002</v>
      </c>
      <c r="H219" s="92">
        <v>-0.42799999999999999</v>
      </c>
      <c r="I219" s="92">
        <v>-0.433</v>
      </c>
      <c r="J219" s="92">
        <v>-0.43099999999999999</v>
      </c>
      <c r="K219" s="92">
        <v>-0.42899999999999999</v>
      </c>
    </row>
    <row r="220" spans="1:11" ht="15" x14ac:dyDescent="0.25">
      <c r="A220" s="26" t="s">
        <v>1251</v>
      </c>
      <c r="C220" s="96"/>
      <c r="D220" s="101" t="str">
        <f t="shared" ref="D220:K220" si="46">IF(ROUND(D$12-SUM(D$152,D$217:D$219),3)=0,"OK","ERROR")</f>
        <v>OK</v>
      </c>
      <c r="E220" s="101" t="str">
        <f t="shared" si="46"/>
        <v>OK</v>
      </c>
      <c r="F220" s="101" t="str">
        <f t="shared" si="46"/>
        <v>OK</v>
      </c>
      <c r="G220" s="102" t="str">
        <f t="shared" si="46"/>
        <v>OK</v>
      </c>
      <c r="H220" s="102" t="str">
        <f t="shared" si="46"/>
        <v>OK</v>
      </c>
      <c r="I220" s="102" t="str">
        <f t="shared" si="46"/>
        <v>OK</v>
      </c>
      <c r="J220" s="102" t="str">
        <f t="shared" si="46"/>
        <v>OK</v>
      </c>
      <c r="K220" s="102" t="str">
        <f t="shared" si="46"/>
        <v>OK</v>
      </c>
    </row>
    <row r="221" spans="1:11" ht="15" x14ac:dyDescent="0.25">
      <c r="A221" s="26" t="s">
        <v>1252</v>
      </c>
      <c r="B221" s="1" t="str">
        <f>$B$9</f>
        <v>NAC</v>
      </c>
      <c r="C221" s="96"/>
      <c r="D221" s="96">
        <v>0.72199999999999998</v>
      </c>
      <c r="E221" s="96">
        <v>0.81499999999999995</v>
      </c>
      <c r="F221" s="96">
        <v>0.871</v>
      </c>
      <c r="G221" s="92">
        <v>0.83299999999999996</v>
      </c>
      <c r="H221" s="92">
        <v>0.95099999999999996</v>
      </c>
      <c r="I221" s="92">
        <v>1.02</v>
      </c>
      <c r="J221" s="92">
        <v>1.0900000000000001</v>
      </c>
      <c r="K221" s="92">
        <v>1.177</v>
      </c>
    </row>
    <row r="222" spans="1:11" x14ac:dyDescent="0.2">
      <c r="A222" s="1" t="s">
        <v>298</v>
      </c>
      <c r="B222" s="1" t="str">
        <f>$B$11</f>
        <v>UIM</v>
      </c>
      <c r="C222" s="96"/>
      <c r="D222" s="96">
        <v>1.31</v>
      </c>
      <c r="E222" s="96">
        <v>1.288</v>
      </c>
      <c r="F222" s="96">
        <v>1.5189999999999999</v>
      </c>
      <c r="G222" s="92">
        <v>1.3009999999999999</v>
      </c>
      <c r="H222" s="92">
        <v>1.351</v>
      </c>
      <c r="I222" s="92">
        <v>1.47</v>
      </c>
      <c r="J222" s="92">
        <v>1.5589999999999999</v>
      </c>
      <c r="K222" s="92">
        <v>1.645</v>
      </c>
    </row>
    <row r="223" spans="1:11" x14ac:dyDescent="0.2">
      <c r="A223" s="1" t="s">
        <v>272</v>
      </c>
      <c r="B223" s="1" t="str">
        <f t="shared" ref="B223:B224" si="47">$B$11</f>
        <v>UIM</v>
      </c>
      <c r="C223" s="96"/>
      <c r="D223" s="96">
        <v>0.32</v>
      </c>
      <c r="E223" s="96">
        <v>0.39300000000000002</v>
      </c>
      <c r="F223" s="96">
        <v>0.42</v>
      </c>
      <c r="G223" s="92">
        <v>0.35599999999999998</v>
      </c>
      <c r="H223" s="92">
        <v>0.40100000000000002</v>
      </c>
      <c r="I223" s="92">
        <v>0.40799999999999997</v>
      </c>
      <c r="J223" s="92">
        <v>0.40400000000000003</v>
      </c>
      <c r="K223" s="92">
        <v>0.39900000000000002</v>
      </c>
    </row>
    <row r="224" spans="1:11" x14ac:dyDescent="0.2">
      <c r="A224" s="1" t="s">
        <v>274</v>
      </c>
      <c r="B224" s="1" t="str">
        <f t="shared" si="47"/>
        <v>UIM</v>
      </c>
      <c r="C224" s="96"/>
      <c r="D224" s="96">
        <v>-0.90800000000000003</v>
      </c>
      <c r="E224" s="96">
        <v>-0.86599999999999999</v>
      </c>
      <c r="F224" s="96">
        <v>-1.0680000000000001</v>
      </c>
      <c r="G224" s="92">
        <v>-0.82399999999999995</v>
      </c>
      <c r="H224" s="92">
        <v>-0.80100000000000005</v>
      </c>
      <c r="I224" s="92">
        <v>-0.85799999999999998</v>
      </c>
      <c r="J224" s="92">
        <v>-0.873</v>
      </c>
      <c r="K224" s="92">
        <v>-0.86699999999999999</v>
      </c>
    </row>
    <row r="225" spans="1:11" ht="15" x14ac:dyDescent="0.25">
      <c r="A225" s="26" t="s">
        <v>1253</v>
      </c>
      <c r="C225" s="96"/>
      <c r="D225" s="101" t="str">
        <f>IF(ROUND(D$221-SUM(D$222:D$224),3)=0,"OK","ERROR")</f>
        <v>OK</v>
      </c>
      <c r="E225" s="101" t="str">
        <f t="shared" ref="E225:K225" si="48">IF(ROUND(E$221-SUM(E$222:E$224),3)=0,"OK","ERROR")</f>
        <v>OK</v>
      </c>
      <c r="F225" s="101" t="str">
        <f t="shared" si="48"/>
        <v>OK</v>
      </c>
      <c r="G225" s="102" t="str">
        <f t="shared" si="48"/>
        <v>OK</v>
      </c>
      <c r="H225" s="102" t="str">
        <f t="shared" si="48"/>
        <v>OK</v>
      </c>
      <c r="I225" s="102" t="str">
        <f t="shared" si="48"/>
        <v>OK</v>
      </c>
      <c r="J225" s="102" t="str">
        <f t="shared" si="48"/>
        <v>OK</v>
      </c>
      <c r="K225" s="102" t="str">
        <f t="shared" si="48"/>
        <v>OK</v>
      </c>
    </row>
    <row r="226" spans="1:11" ht="15" x14ac:dyDescent="0.25">
      <c r="A226" s="26" t="s">
        <v>146</v>
      </c>
      <c r="C226" s="96"/>
      <c r="D226" s="96"/>
      <c r="E226" s="96"/>
      <c r="F226" s="96"/>
      <c r="G226" s="92"/>
      <c r="H226" s="92"/>
      <c r="I226" s="92"/>
      <c r="J226" s="92"/>
      <c r="K226" s="92"/>
    </row>
    <row r="227" spans="1:11" x14ac:dyDescent="0.2">
      <c r="A227" s="1" t="s">
        <v>289</v>
      </c>
      <c r="B227" s="1" t="str">
        <f t="shared" ref="B227:B233" si="49">$B$11</f>
        <v>UIM</v>
      </c>
      <c r="C227" s="96"/>
      <c r="D227" s="96">
        <v>11.590999999999999</v>
      </c>
      <c r="E227" s="96">
        <v>12.266999999999999</v>
      </c>
      <c r="F227" s="96">
        <v>13.042999999999999</v>
      </c>
      <c r="G227" s="92">
        <v>13.702999999999999</v>
      </c>
      <c r="H227" s="92">
        <v>14.539</v>
      </c>
      <c r="I227" s="92">
        <v>15.439</v>
      </c>
      <c r="J227" s="92">
        <v>16.332999999999998</v>
      </c>
      <c r="K227" s="92">
        <v>17.353000000000002</v>
      </c>
    </row>
    <row r="228" spans="1:11" x14ac:dyDescent="0.2">
      <c r="A228" s="1" t="s">
        <v>290</v>
      </c>
      <c r="B228" s="1" t="str">
        <f t="shared" si="49"/>
        <v>UIM</v>
      </c>
      <c r="C228" s="96"/>
      <c r="D228" s="96">
        <v>1.6839999999999999</v>
      </c>
      <c r="E228" s="96">
        <v>1.671</v>
      </c>
      <c r="F228" s="96">
        <v>1.6970000000000001</v>
      </c>
      <c r="G228" s="92">
        <v>1.6930000000000001</v>
      </c>
      <c r="H228" s="92">
        <v>1.712</v>
      </c>
      <c r="I228" s="92">
        <v>1.66</v>
      </c>
      <c r="J228" s="92">
        <v>1.599</v>
      </c>
      <c r="K228" s="92">
        <v>1.5940000000000001</v>
      </c>
    </row>
    <row r="229" spans="1:11" x14ac:dyDescent="0.2">
      <c r="A229" s="1" t="s">
        <v>291</v>
      </c>
      <c r="B229" s="1" t="str">
        <f t="shared" si="49"/>
        <v>UIM</v>
      </c>
      <c r="C229" s="96"/>
      <c r="D229" s="96">
        <v>1.5149999999999999</v>
      </c>
      <c r="E229" s="96">
        <v>1.5229999999999999</v>
      </c>
      <c r="F229" s="96">
        <v>1.5329999999999999</v>
      </c>
      <c r="G229" s="92">
        <v>1.54</v>
      </c>
      <c r="H229" s="92">
        <v>1.5549999999999999</v>
      </c>
      <c r="I229" s="92">
        <v>1.569</v>
      </c>
      <c r="J229" s="92">
        <v>1.5780000000000001</v>
      </c>
      <c r="K229" s="92">
        <v>1.5920000000000001</v>
      </c>
    </row>
    <row r="230" spans="1:11" x14ac:dyDescent="0.2">
      <c r="A230" s="1" t="s">
        <v>292</v>
      </c>
      <c r="B230" s="1" t="str">
        <f t="shared" si="49"/>
        <v>UIM</v>
      </c>
      <c r="C230" s="96"/>
      <c r="D230" s="96">
        <v>1.1859999999999999</v>
      </c>
      <c r="E230" s="96">
        <v>1.153</v>
      </c>
      <c r="F230" s="96">
        <v>1.159</v>
      </c>
      <c r="G230" s="92">
        <v>1.109</v>
      </c>
      <c r="H230" s="92">
        <v>1.0840000000000001</v>
      </c>
      <c r="I230" s="92">
        <v>1.095</v>
      </c>
      <c r="J230" s="92">
        <v>1.1140000000000001</v>
      </c>
      <c r="K230" s="92">
        <v>1.139</v>
      </c>
    </row>
    <row r="231" spans="1:11" x14ac:dyDescent="0.2">
      <c r="A231" s="1" t="s">
        <v>468</v>
      </c>
      <c r="B231" s="1" t="str">
        <f t="shared" si="49"/>
        <v>UIM</v>
      </c>
      <c r="C231" s="96"/>
      <c r="D231" s="96">
        <v>2.403</v>
      </c>
      <c r="E231" s="96">
        <v>2.3519999999999999</v>
      </c>
      <c r="F231" s="96">
        <v>2.319</v>
      </c>
      <c r="G231" s="92">
        <v>2.2709999999999999</v>
      </c>
      <c r="H231" s="92">
        <v>3.1880000000000002</v>
      </c>
      <c r="I231" s="92">
        <v>3.1030000000000002</v>
      </c>
      <c r="J231" s="92">
        <v>3.069</v>
      </c>
      <c r="K231" s="92">
        <v>3.0739999999999998</v>
      </c>
    </row>
    <row r="232" spans="1:11" x14ac:dyDescent="0.2">
      <c r="A232" s="1" t="s">
        <v>470</v>
      </c>
      <c r="B232" s="1" t="str">
        <f t="shared" si="49"/>
        <v>UIM</v>
      </c>
      <c r="C232" s="96"/>
      <c r="D232" s="96">
        <v>3.464</v>
      </c>
      <c r="E232" s="96">
        <v>3.6280000000000001</v>
      </c>
      <c r="F232" s="96">
        <v>3.7850000000000001</v>
      </c>
      <c r="G232" s="92">
        <v>4.09</v>
      </c>
      <c r="H232" s="92">
        <v>5.05</v>
      </c>
      <c r="I232" s="92">
        <v>5.29</v>
      </c>
      <c r="J232" s="92">
        <v>5.609</v>
      </c>
      <c r="K232" s="92">
        <v>5.8760000000000003</v>
      </c>
    </row>
    <row r="233" spans="1:11" x14ac:dyDescent="0.2">
      <c r="A233" s="1" t="s">
        <v>293</v>
      </c>
      <c r="B233" s="1" t="str">
        <f t="shared" si="49"/>
        <v>UIM</v>
      </c>
      <c r="C233" s="96"/>
      <c r="D233" s="96">
        <v>0.51100000000000001</v>
      </c>
      <c r="E233" s="96">
        <v>0.48599999999999999</v>
      </c>
      <c r="F233" s="96">
        <v>0.46500000000000002</v>
      </c>
      <c r="G233" s="92">
        <v>0.50900000000000001</v>
      </c>
      <c r="H233" s="92">
        <v>0.58099999999999996</v>
      </c>
      <c r="I233" s="92">
        <v>0.59</v>
      </c>
      <c r="J233" s="92">
        <v>0.60799999999999998</v>
      </c>
      <c r="K233" s="92">
        <v>0.626</v>
      </c>
    </row>
    <row r="234" spans="1:11" x14ac:dyDescent="0.2">
      <c r="A234" s="1" t="s">
        <v>295</v>
      </c>
      <c r="B234" s="1" t="str">
        <f>$B$11</f>
        <v>UIM</v>
      </c>
      <c r="C234" s="96"/>
      <c r="D234" s="96">
        <v>0.85599999999999998</v>
      </c>
      <c r="E234" s="96">
        <v>0.69799999999999995</v>
      </c>
      <c r="F234" s="96">
        <v>0.74299999999999999</v>
      </c>
      <c r="G234" s="92">
        <v>0.83</v>
      </c>
      <c r="H234" s="92">
        <v>0.86</v>
      </c>
      <c r="I234" s="92">
        <v>0.90100000000000002</v>
      </c>
      <c r="J234" s="92">
        <v>0.94299999999999995</v>
      </c>
      <c r="K234" s="92">
        <v>0.98199999999999998</v>
      </c>
    </row>
    <row r="235" spans="1:11" x14ac:dyDescent="0.2">
      <c r="A235" s="1" t="s">
        <v>296</v>
      </c>
      <c r="B235" s="1" t="str">
        <f>$B$11</f>
        <v>UIM</v>
      </c>
      <c r="C235" s="96"/>
      <c r="D235" s="96">
        <v>0.51300000000000001</v>
      </c>
      <c r="E235" s="96">
        <v>0.53400000000000003</v>
      </c>
      <c r="F235" s="96">
        <v>0.52</v>
      </c>
      <c r="G235" s="92">
        <v>0.64700000000000002</v>
      </c>
      <c r="H235" s="92">
        <v>0.69299999999999995</v>
      </c>
      <c r="I235" s="92">
        <v>0.73</v>
      </c>
      <c r="J235" s="92">
        <v>0.76400000000000001</v>
      </c>
      <c r="K235" s="92">
        <v>0.79800000000000004</v>
      </c>
    </row>
    <row r="236" spans="1:11" ht="15" x14ac:dyDescent="0.25">
      <c r="A236" s="26" t="s">
        <v>294</v>
      </c>
      <c r="C236" s="96"/>
      <c r="D236" s="101" t="str">
        <f t="shared" ref="D236:K236" si="50">IF(ROUND(D$15-SUM(D$227:D$235),3)=0,"OK","ERROR")</f>
        <v>OK</v>
      </c>
      <c r="E236" s="101" t="str">
        <f t="shared" si="50"/>
        <v>OK</v>
      </c>
      <c r="F236" s="101" t="str">
        <f t="shared" si="50"/>
        <v>OK</v>
      </c>
      <c r="G236" s="102" t="str">
        <f t="shared" si="50"/>
        <v>OK</v>
      </c>
      <c r="H236" s="102" t="str">
        <f t="shared" si="50"/>
        <v>OK</v>
      </c>
      <c r="I236" s="102" t="str">
        <f t="shared" si="50"/>
        <v>OK</v>
      </c>
      <c r="J236" s="102" t="str">
        <f t="shared" si="50"/>
        <v>OK</v>
      </c>
      <c r="K236" s="102" t="str">
        <f t="shared" si="50"/>
        <v>OK</v>
      </c>
    </row>
    <row r="237" spans="1:11" ht="15" x14ac:dyDescent="0.25">
      <c r="A237" s="26" t="s">
        <v>147</v>
      </c>
      <c r="C237" s="96"/>
      <c r="D237" s="96"/>
      <c r="E237" s="96"/>
      <c r="F237" s="96"/>
      <c r="G237" s="92"/>
      <c r="H237" s="92"/>
      <c r="I237" s="92"/>
      <c r="J237" s="92"/>
      <c r="K237" s="92"/>
    </row>
    <row r="238" spans="1:11" x14ac:dyDescent="0.2">
      <c r="A238" s="1" t="s">
        <v>272</v>
      </c>
      <c r="B238" s="1" t="str">
        <f>$B$11</f>
        <v>UIM</v>
      </c>
      <c r="C238" s="96"/>
      <c r="D238" s="96">
        <v>11.66</v>
      </c>
      <c r="E238" s="96">
        <v>12.205</v>
      </c>
      <c r="F238" s="96">
        <v>12.878</v>
      </c>
      <c r="G238" s="92">
        <v>13.538</v>
      </c>
      <c r="H238" s="92">
        <v>13.856</v>
      </c>
      <c r="I238" s="92">
        <v>14.04</v>
      </c>
      <c r="J238" s="92">
        <v>14.391999999999999</v>
      </c>
      <c r="K238" s="92">
        <v>14.316000000000001</v>
      </c>
    </row>
    <row r="239" spans="1:11" x14ac:dyDescent="0.2">
      <c r="A239" s="1" t="s">
        <v>273</v>
      </c>
      <c r="B239" s="1" t="str">
        <f>$B$11</f>
        <v>UIM</v>
      </c>
      <c r="C239" s="96"/>
      <c r="D239" s="96">
        <v>2.9350000000000001</v>
      </c>
      <c r="E239" s="96">
        <v>2.9209999999999998</v>
      </c>
      <c r="F239" s="96">
        <v>2.8690000000000002</v>
      </c>
      <c r="G239" s="92">
        <v>2.9249999999999998</v>
      </c>
      <c r="H239" s="92">
        <v>3.008</v>
      </c>
      <c r="I239" s="92">
        <v>3.1539999999999999</v>
      </c>
      <c r="J239" s="92">
        <v>3.2810000000000001</v>
      </c>
      <c r="K239" s="92">
        <v>3.395</v>
      </c>
    </row>
    <row r="240" spans="1:11" x14ac:dyDescent="0.2">
      <c r="A240" s="1" t="s">
        <v>274</v>
      </c>
      <c r="B240" s="1" t="str">
        <f>$B$11</f>
        <v>UIM</v>
      </c>
      <c r="C240" s="96"/>
      <c r="D240" s="96">
        <v>-2.3E-2</v>
      </c>
      <c r="E240" s="96">
        <v>-2.9000000000000001E-2</v>
      </c>
      <c r="F240" s="96">
        <v>-3.7999999999999999E-2</v>
      </c>
      <c r="G240" s="92">
        <v>-3.5000000000000003E-2</v>
      </c>
      <c r="H240" s="92">
        <v>-3.4999999999999996E-2</v>
      </c>
      <c r="I240" s="92">
        <v>-3.5999999999999997E-2</v>
      </c>
      <c r="J240" s="92">
        <v>-3.6999999999999998E-2</v>
      </c>
      <c r="K240" s="92">
        <v>-3.5999999999999997E-2</v>
      </c>
    </row>
    <row r="241" spans="1:11" ht="15" x14ac:dyDescent="0.25">
      <c r="A241" s="26" t="s">
        <v>297</v>
      </c>
      <c r="C241" s="96"/>
      <c r="D241" s="101" t="str">
        <f t="shared" ref="D241:K241" si="51">IF(ROUND(D$16-SUM(D$157,D$238:D$240),3)=0,"OK","ERROR")</f>
        <v>OK</v>
      </c>
      <c r="E241" s="101" t="str">
        <f t="shared" si="51"/>
        <v>OK</v>
      </c>
      <c r="F241" s="101" t="str">
        <f t="shared" si="51"/>
        <v>OK</v>
      </c>
      <c r="G241" s="102" t="str">
        <f t="shared" si="51"/>
        <v>OK</v>
      </c>
      <c r="H241" s="102" t="str">
        <f t="shared" si="51"/>
        <v>OK</v>
      </c>
      <c r="I241" s="102" t="str">
        <f t="shared" si="51"/>
        <v>OK</v>
      </c>
      <c r="J241" s="102" t="str">
        <f t="shared" si="51"/>
        <v>OK</v>
      </c>
      <c r="K241" s="102" t="str">
        <f t="shared" si="51"/>
        <v>OK</v>
      </c>
    </row>
    <row r="242" spans="1:11" ht="15" x14ac:dyDescent="0.25">
      <c r="A242" s="26" t="s">
        <v>1246</v>
      </c>
      <c r="C242" s="96"/>
      <c r="D242" s="96"/>
      <c r="E242" s="96"/>
      <c r="F242" s="96"/>
      <c r="G242" s="92"/>
      <c r="H242" s="92"/>
      <c r="I242" s="92"/>
      <c r="J242" s="92"/>
      <c r="K242" s="92"/>
    </row>
    <row r="243" spans="1:11" x14ac:dyDescent="0.2">
      <c r="A243" s="1" t="s">
        <v>298</v>
      </c>
      <c r="B243" s="1" t="str">
        <f>$B$11</f>
        <v>UIM</v>
      </c>
      <c r="C243" s="96"/>
      <c r="D243" s="96">
        <v>1.2509999999999999</v>
      </c>
      <c r="E243" s="96">
        <v>1.306</v>
      </c>
      <c r="F243" s="96">
        <v>1.36</v>
      </c>
      <c r="G243" s="92">
        <v>1.4570000000000001</v>
      </c>
      <c r="H243" s="92">
        <v>1.5169999999999999</v>
      </c>
      <c r="I243" s="92">
        <v>1.569</v>
      </c>
      <c r="J243" s="92">
        <v>1.583</v>
      </c>
      <c r="K243" s="92">
        <v>1.6120000000000001</v>
      </c>
    </row>
    <row r="244" spans="1:11" x14ac:dyDescent="0.2">
      <c r="A244" s="1" t="s">
        <v>272</v>
      </c>
      <c r="B244" s="1" t="str">
        <f>$B$11</f>
        <v>UIM</v>
      </c>
      <c r="C244" s="96"/>
      <c r="D244" s="96">
        <v>1.4319999999999999</v>
      </c>
      <c r="E244" s="96">
        <v>1.367</v>
      </c>
      <c r="F244" s="96">
        <v>1.3540000000000001</v>
      </c>
      <c r="G244" s="92">
        <v>1.4350000000000001</v>
      </c>
      <c r="H244" s="92">
        <v>1.466</v>
      </c>
      <c r="I244" s="92">
        <v>1.5069999999999999</v>
      </c>
      <c r="J244" s="92">
        <v>1.554</v>
      </c>
      <c r="K244" s="92">
        <v>1.589</v>
      </c>
    </row>
    <row r="245" spans="1:11" x14ac:dyDescent="0.2">
      <c r="A245" s="1" t="s">
        <v>273</v>
      </c>
      <c r="B245" s="1" t="str">
        <f>$B$11</f>
        <v>UIM</v>
      </c>
      <c r="C245" s="96"/>
      <c r="D245" s="96">
        <v>1.3620000000000001</v>
      </c>
      <c r="E245" s="96">
        <v>1.494</v>
      </c>
      <c r="F245" s="96">
        <v>1.647</v>
      </c>
      <c r="G245" s="92">
        <v>1.885</v>
      </c>
      <c r="H245" s="92">
        <v>1.857</v>
      </c>
      <c r="I245" s="92">
        <v>1.774</v>
      </c>
      <c r="J245" s="92">
        <v>1.784</v>
      </c>
      <c r="K245" s="92">
        <v>1.782</v>
      </c>
    </row>
    <row r="246" spans="1:11" ht="15" x14ac:dyDescent="0.25">
      <c r="A246" s="26" t="s">
        <v>1255</v>
      </c>
      <c r="C246" s="96"/>
      <c r="D246" s="101" t="str">
        <f t="shared" ref="D246:K246" si="52">IF(ROUND(D$17-SUM(D$243:D$245),3)=0,"OK","ERROR")</f>
        <v>OK</v>
      </c>
      <c r="E246" s="101" t="str">
        <f t="shared" si="52"/>
        <v>OK</v>
      </c>
      <c r="F246" s="101" t="str">
        <f t="shared" si="52"/>
        <v>OK</v>
      </c>
      <c r="G246" s="102" t="str">
        <f t="shared" si="52"/>
        <v>OK</v>
      </c>
      <c r="H246" s="102" t="str">
        <f t="shared" si="52"/>
        <v>OK</v>
      </c>
      <c r="I246" s="102" t="str">
        <f t="shared" si="52"/>
        <v>OK</v>
      </c>
      <c r="J246" s="102" t="str">
        <f t="shared" si="52"/>
        <v>OK</v>
      </c>
      <c r="K246" s="102" t="str">
        <f t="shared" si="52"/>
        <v>OK</v>
      </c>
    </row>
    <row r="247" spans="1:11" ht="15" x14ac:dyDescent="0.25">
      <c r="A247" s="26" t="s">
        <v>1250</v>
      </c>
      <c r="C247" s="96"/>
      <c r="D247" s="104"/>
      <c r="E247" s="104"/>
      <c r="F247" s="104"/>
      <c r="G247" s="105"/>
      <c r="H247" s="105"/>
      <c r="I247" s="105"/>
      <c r="J247" s="105"/>
      <c r="K247" s="105"/>
    </row>
    <row r="248" spans="1:11" x14ac:dyDescent="0.2">
      <c r="A248" s="1" t="s">
        <v>298</v>
      </c>
      <c r="B248" s="1" t="str">
        <f>$B$11</f>
        <v>UIM</v>
      </c>
      <c r="C248" s="96"/>
      <c r="D248" s="96">
        <v>0.19000000000000017</v>
      </c>
      <c r="E248" s="96">
        <v>0.22299999999999986</v>
      </c>
      <c r="F248" s="96">
        <v>0.24399999999999999</v>
      </c>
      <c r="G248" s="92">
        <v>0.27300000000000002</v>
      </c>
      <c r="H248" s="92">
        <v>0.30499999999999999</v>
      </c>
      <c r="I248" s="92">
        <v>0.316</v>
      </c>
      <c r="J248" s="92">
        <v>0.312</v>
      </c>
      <c r="K248" s="92">
        <v>0.32500000000000001</v>
      </c>
    </row>
    <row r="249" spans="1:11" x14ac:dyDescent="0.2">
      <c r="A249" s="1" t="s">
        <v>272</v>
      </c>
      <c r="B249" s="1" t="str">
        <f>$B$9</f>
        <v>NAC</v>
      </c>
      <c r="C249" s="96"/>
      <c r="D249" s="96">
        <v>0.31899999999999995</v>
      </c>
      <c r="E249" s="96">
        <v>0.31899999999999995</v>
      </c>
      <c r="F249" s="96">
        <v>0.31099999999999994</v>
      </c>
      <c r="G249" s="92">
        <v>0.313</v>
      </c>
      <c r="H249" s="92">
        <v>0.315</v>
      </c>
      <c r="I249" s="92">
        <v>0.316</v>
      </c>
      <c r="J249" s="92">
        <v>0.32500000000000001</v>
      </c>
      <c r="K249" s="92">
        <v>0.32900000000000001</v>
      </c>
    </row>
    <row r="250" spans="1:11" x14ac:dyDescent="0.2">
      <c r="A250" s="1" t="s">
        <v>273</v>
      </c>
      <c r="B250" s="1" t="str">
        <f>$B$9</f>
        <v>NAC</v>
      </c>
      <c r="C250" s="96"/>
      <c r="D250" s="96">
        <v>0.28799999999999981</v>
      </c>
      <c r="E250" s="96">
        <v>0.16599999999999993</v>
      </c>
      <c r="F250" s="96">
        <v>0.25900000000000001</v>
      </c>
      <c r="G250" s="92">
        <v>0.13400000000000001</v>
      </c>
      <c r="H250" s="92">
        <v>0.109</v>
      </c>
      <c r="I250" s="92">
        <v>9.2999999999999999E-2</v>
      </c>
      <c r="J250" s="92">
        <v>9.4E-2</v>
      </c>
      <c r="K250" s="92">
        <v>9.7000000000000003E-2</v>
      </c>
    </row>
    <row r="251" spans="1:11" ht="15" x14ac:dyDescent="0.25">
      <c r="A251" s="26" t="s">
        <v>1304</v>
      </c>
      <c r="C251" s="96"/>
      <c r="D251" s="101" t="str">
        <f>IF(ROUND(-D$98-SUM(D$248:D$250),3)=0,"OK","ERROR")</f>
        <v>OK</v>
      </c>
      <c r="E251" s="101" t="str">
        <f t="shared" ref="E251:K251" si="53">IF(ROUND(-E$98-SUM(E$248:E$250),3)=0,"OK","ERROR")</f>
        <v>OK</v>
      </c>
      <c r="F251" s="101" t="str">
        <f t="shared" si="53"/>
        <v>OK</v>
      </c>
      <c r="G251" s="102" t="str">
        <f t="shared" si="53"/>
        <v>OK</v>
      </c>
      <c r="H251" s="102" t="str">
        <f t="shared" si="53"/>
        <v>OK</v>
      </c>
      <c r="I251" s="102" t="str">
        <f t="shared" si="53"/>
        <v>OK</v>
      </c>
      <c r="J251" s="102" t="str">
        <f t="shared" si="53"/>
        <v>OK</v>
      </c>
      <c r="K251" s="102" t="str">
        <f t="shared" si="53"/>
        <v>OK</v>
      </c>
    </row>
    <row r="252" spans="1:11" ht="15" x14ac:dyDescent="0.25">
      <c r="A252" s="26" t="s">
        <v>1256</v>
      </c>
      <c r="C252" s="96"/>
      <c r="D252" s="96"/>
      <c r="E252" s="96"/>
      <c r="F252" s="96"/>
      <c r="G252" s="96"/>
      <c r="H252" s="96"/>
      <c r="I252" s="96"/>
      <c r="J252" s="96"/>
      <c r="K252" s="96"/>
    </row>
    <row r="253" spans="1:11" x14ac:dyDescent="0.2">
      <c r="A253" s="1" t="s">
        <v>298</v>
      </c>
      <c r="B253" s="1" t="str">
        <f>$B$11</f>
        <v>UIM</v>
      </c>
      <c r="C253" s="96"/>
      <c r="D253" s="96">
        <v>37.048000000000002</v>
      </c>
      <c r="E253" s="96">
        <v>38.055</v>
      </c>
      <c r="F253" s="96">
        <v>39.283000000000001</v>
      </c>
      <c r="G253" s="92">
        <v>43.21</v>
      </c>
      <c r="H253" s="92">
        <v>45.377000000000002</v>
      </c>
      <c r="I253" s="92">
        <v>44.613</v>
      </c>
      <c r="J253" s="92">
        <v>45.209000000000003</v>
      </c>
      <c r="K253" s="92">
        <v>44.869</v>
      </c>
    </row>
    <row r="254" spans="1:11" x14ac:dyDescent="0.2">
      <c r="A254" s="1" t="s">
        <v>272</v>
      </c>
      <c r="B254" s="1" t="str">
        <f>$B$11</f>
        <v>UIM</v>
      </c>
      <c r="C254" s="96"/>
      <c r="D254" s="96">
        <v>18.233000000000001</v>
      </c>
      <c r="E254" s="96">
        <v>18.931999999999999</v>
      </c>
      <c r="F254" s="96">
        <v>19.826000000000001</v>
      </c>
      <c r="G254" s="92">
        <v>21.094999999999999</v>
      </c>
      <c r="H254" s="92">
        <v>22.09</v>
      </c>
      <c r="I254" s="92">
        <v>21.9</v>
      </c>
      <c r="J254" s="92">
        <v>22.204999999999998</v>
      </c>
      <c r="K254" s="92">
        <v>21.79</v>
      </c>
    </row>
    <row r="255" spans="1:11" x14ac:dyDescent="0.2">
      <c r="A255" s="1" t="s">
        <v>273</v>
      </c>
      <c r="B255" s="1" t="str">
        <f>$B$11</f>
        <v>UIM</v>
      </c>
      <c r="C255" s="96"/>
      <c r="D255" s="96">
        <v>9.6199999999999992</v>
      </c>
      <c r="E255" s="96">
        <v>8.6289999999999996</v>
      </c>
      <c r="F255" s="96">
        <v>9.0579999999999998</v>
      </c>
      <c r="G255" s="92">
        <v>10.395</v>
      </c>
      <c r="H255" s="92">
        <v>10.651999999999999</v>
      </c>
      <c r="I255" s="92">
        <v>11.151999999999999</v>
      </c>
      <c r="J255" s="92">
        <v>11.46</v>
      </c>
      <c r="K255" s="92">
        <v>11.904999999999999</v>
      </c>
    </row>
    <row r="256" spans="1:11" x14ac:dyDescent="0.2">
      <c r="A256" s="1" t="s">
        <v>274</v>
      </c>
      <c r="B256" s="1" t="str">
        <f>$B$11</f>
        <v>UIM</v>
      </c>
      <c r="C256" s="96"/>
      <c r="D256" s="96">
        <v>-28.193999999999999</v>
      </c>
      <c r="E256" s="96">
        <v>-29.039000000000001</v>
      </c>
      <c r="F256" s="96">
        <v>-30.158999999999999</v>
      </c>
      <c r="G256" s="92">
        <v>-31.87</v>
      </c>
      <c r="H256" s="92">
        <v>-33.143000000000001</v>
      </c>
      <c r="I256" s="92">
        <v>-33.06</v>
      </c>
      <c r="J256" s="92">
        <v>-33.725000000000001</v>
      </c>
      <c r="K256" s="92">
        <v>-33.417000000000002</v>
      </c>
    </row>
    <row r="257" spans="1:11" ht="15" x14ac:dyDescent="0.25">
      <c r="A257" s="26" t="s">
        <v>299</v>
      </c>
      <c r="C257" s="96"/>
      <c r="D257" s="101" t="str">
        <f t="shared" ref="D257:K257" si="54">IF(ROUND(D$18-SUM(D$253:D$256),3)=0,"OK","ERROR")</f>
        <v>OK</v>
      </c>
      <c r="E257" s="101" t="str">
        <f t="shared" si="54"/>
        <v>OK</v>
      </c>
      <c r="F257" s="101" t="str">
        <f t="shared" si="54"/>
        <v>OK</v>
      </c>
      <c r="G257" s="102" t="str">
        <f t="shared" si="54"/>
        <v>OK</v>
      </c>
      <c r="H257" s="102" t="str">
        <f t="shared" si="54"/>
        <v>OK</v>
      </c>
      <c r="I257" s="102" t="str">
        <f t="shared" si="54"/>
        <v>OK</v>
      </c>
      <c r="J257" s="102" t="str">
        <f t="shared" si="54"/>
        <v>OK</v>
      </c>
      <c r="K257" s="102" t="str">
        <f t="shared" si="54"/>
        <v>OK</v>
      </c>
    </row>
    <row r="258" spans="1:11" ht="15" x14ac:dyDescent="0.25">
      <c r="A258" s="26" t="s">
        <v>300</v>
      </c>
      <c r="C258" s="96"/>
      <c r="D258" s="96"/>
      <c r="E258" s="96"/>
      <c r="F258" s="96"/>
      <c r="G258" s="92"/>
      <c r="H258" s="92"/>
      <c r="I258" s="92"/>
      <c r="J258" s="92"/>
      <c r="K258" s="92"/>
    </row>
    <row r="259" spans="1:11" x14ac:dyDescent="0.2">
      <c r="A259" s="1" t="s">
        <v>272</v>
      </c>
      <c r="B259" s="1" t="str">
        <f>$B$11</f>
        <v>UIM</v>
      </c>
      <c r="C259" s="96"/>
      <c r="D259" s="96">
        <v>0.221</v>
      </c>
      <c r="E259" s="96">
        <v>0.215</v>
      </c>
      <c r="F259" s="96">
        <v>0.158</v>
      </c>
      <c r="G259" s="92">
        <v>5.1999999999999998E-2</v>
      </c>
      <c r="H259" s="92">
        <v>8.7999999999999995E-2</v>
      </c>
      <c r="I259" s="92">
        <v>0.13400000000000001</v>
      </c>
      <c r="J259" s="92">
        <v>0.182</v>
      </c>
      <c r="K259" s="92">
        <v>0.22900000000000001</v>
      </c>
    </row>
    <row r="260" spans="1:11" x14ac:dyDescent="0.2">
      <c r="A260" s="1" t="s">
        <v>273</v>
      </c>
      <c r="B260" s="1" t="str">
        <f>$B$11</f>
        <v>UIM</v>
      </c>
      <c r="C260" s="96"/>
      <c r="D260" s="96">
        <v>1.28</v>
      </c>
      <c r="E260" s="96">
        <v>1.1539999999999999</v>
      </c>
      <c r="F260" s="96">
        <v>1.06</v>
      </c>
      <c r="G260" s="92">
        <v>1.07</v>
      </c>
      <c r="H260" s="92">
        <v>1.0660000000000001</v>
      </c>
      <c r="I260" s="92">
        <v>1.0880000000000001</v>
      </c>
      <c r="J260" s="92">
        <v>1.0680000000000001</v>
      </c>
      <c r="K260" s="92">
        <v>1.075</v>
      </c>
    </row>
    <row r="261" spans="1:11" x14ac:dyDescent="0.2">
      <c r="A261" s="1" t="s">
        <v>274</v>
      </c>
      <c r="B261" s="1" t="str">
        <f>$B$11</f>
        <v>UIM</v>
      </c>
      <c r="C261" s="96"/>
      <c r="D261" s="96">
        <v>-0.72099999999999997</v>
      </c>
      <c r="E261" s="96">
        <v>-0.623</v>
      </c>
      <c r="F261" s="96">
        <v>-0.59</v>
      </c>
      <c r="G261" s="92">
        <v>-0.48499999999999999</v>
      </c>
      <c r="H261" s="92">
        <v>-0.51700000000000002</v>
      </c>
      <c r="I261" s="92">
        <v>-0.53500000000000003</v>
      </c>
      <c r="J261" s="92">
        <v>-0.54100000000000004</v>
      </c>
      <c r="K261" s="92">
        <v>-0.54700000000000004</v>
      </c>
    </row>
    <row r="262" spans="1:11" ht="15" x14ac:dyDescent="0.25">
      <c r="A262" s="26" t="s">
        <v>301</v>
      </c>
      <c r="C262" s="96"/>
      <c r="D262" s="101" t="str">
        <f t="shared" ref="D262:K262" si="55">IF(ROUND(D$19-SUM(D$159,D$259:D$261),3)=0,"OK","ERROR")</f>
        <v>OK</v>
      </c>
      <c r="E262" s="101" t="str">
        <f t="shared" si="55"/>
        <v>OK</v>
      </c>
      <c r="F262" s="101" t="str">
        <f t="shared" si="55"/>
        <v>OK</v>
      </c>
      <c r="G262" s="102" t="str">
        <f t="shared" si="55"/>
        <v>OK</v>
      </c>
      <c r="H262" s="102" t="str">
        <f t="shared" si="55"/>
        <v>OK</v>
      </c>
      <c r="I262" s="102" t="str">
        <f t="shared" si="55"/>
        <v>OK</v>
      </c>
      <c r="J262" s="102" t="str">
        <f t="shared" si="55"/>
        <v>OK</v>
      </c>
      <c r="K262" s="102" t="str">
        <f t="shared" si="55"/>
        <v>OK</v>
      </c>
    </row>
    <row r="263" spans="1:11" ht="15" x14ac:dyDescent="0.25">
      <c r="A263" s="26" t="s">
        <v>150</v>
      </c>
      <c r="C263" s="96"/>
      <c r="D263" s="104"/>
      <c r="E263" s="104"/>
      <c r="F263" s="104"/>
      <c r="G263" s="105"/>
      <c r="H263" s="105"/>
      <c r="I263" s="105"/>
      <c r="J263" s="105"/>
      <c r="K263" s="105"/>
    </row>
    <row r="264" spans="1:11" x14ac:dyDescent="0.2">
      <c r="A264" s="1" t="s">
        <v>302</v>
      </c>
      <c r="B264" s="1" t="str">
        <f>$B$11</f>
        <v>UIM</v>
      </c>
      <c r="C264" s="96"/>
      <c r="D264" s="96">
        <v>4.1040000000000001</v>
      </c>
      <c r="E264" s="96">
        <v>4.1660000000000004</v>
      </c>
      <c r="F264" s="96">
        <v>4.5869999999999997</v>
      </c>
      <c r="G264" s="92">
        <v>4.758</v>
      </c>
      <c r="H264" s="92">
        <v>4.8369999999999997</v>
      </c>
      <c r="I264" s="92">
        <v>5.3029999999999999</v>
      </c>
      <c r="J264" s="92">
        <v>5.758</v>
      </c>
      <c r="K264" s="92">
        <v>6.194</v>
      </c>
    </row>
    <row r="265" spans="1:11" x14ac:dyDescent="0.2">
      <c r="A265" s="1" t="s">
        <v>303</v>
      </c>
      <c r="B265" s="1" t="str">
        <f>$B$11</f>
        <v>UIM</v>
      </c>
      <c r="C265" s="96"/>
      <c r="D265" s="96">
        <v>-0.35699999999999998</v>
      </c>
      <c r="E265" s="96">
        <v>0.33700000000000002</v>
      </c>
      <c r="F265" s="96">
        <v>0.33200000000000002</v>
      </c>
      <c r="G265" s="92">
        <v>7.5999999999999998E-2</v>
      </c>
      <c r="H265" s="92">
        <v>7.5999999999999998E-2</v>
      </c>
      <c r="I265" s="92">
        <v>0.17699999999999999</v>
      </c>
      <c r="J265" s="92">
        <v>0.216</v>
      </c>
      <c r="K265" s="92">
        <v>0.223</v>
      </c>
    </row>
    <row r="266" spans="1:11" x14ac:dyDescent="0.2">
      <c r="A266" s="1" t="s">
        <v>314</v>
      </c>
      <c r="B266" s="1" t="str">
        <f>$B$11</f>
        <v>UIM</v>
      </c>
      <c r="C266" s="96"/>
      <c r="D266" s="96">
        <v>0.36299999999999999</v>
      </c>
      <c r="E266" s="96">
        <v>0.222</v>
      </c>
      <c r="F266" s="96">
        <v>0.499</v>
      </c>
      <c r="G266" s="92">
        <v>6.0000000000000001E-3</v>
      </c>
      <c r="H266" s="92">
        <v>-3.5999999999999997E-2</v>
      </c>
      <c r="I266" s="92">
        <v>0.01</v>
      </c>
      <c r="J266" s="92">
        <v>0.01</v>
      </c>
      <c r="K266" s="92">
        <v>0.01</v>
      </c>
    </row>
    <row r="267" spans="1:11" ht="15.75" customHeight="1" x14ac:dyDescent="0.25">
      <c r="A267" s="26" t="s">
        <v>304</v>
      </c>
      <c r="C267" s="96"/>
      <c r="D267" s="101" t="str">
        <f t="shared" ref="D267:K267" si="56">IF(ROUND(D$20-SUM(D$264:D$266),3)=0,"OK","ERROR")</f>
        <v>OK</v>
      </c>
      <c r="E267" s="101" t="str">
        <f t="shared" si="56"/>
        <v>OK</v>
      </c>
      <c r="F267" s="101" t="str">
        <f t="shared" si="56"/>
        <v>OK</v>
      </c>
      <c r="G267" s="102" t="str">
        <f t="shared" si="56"/>
        <v>OK</v>
      </c>
      <c r="H267" s="102" t="str">
        <f t="shared" si="56"/>
        <v>OK</v>
      </c>
      <c r="I267" s="102" t="str">
        <f t="shared" si="56"/>
        <v>OK</v>
      </c>
      <c r="J267" s="102" t="str">
        <f t="shared" si="56"/>
        <v>OK</v>
      </c>
      <c r="K267" s="102" t="str">
        <f t="shared" si="56"/>
        <v>OK</v>
      </c>
    </row>
    <row r="268" spans="1:11" ht="15" x14ac:dyDescent="0.25">
      <c r="A268" s="26" t="s">
        <v>151</v>
      </c>
      <c r="C268" s="96"/>
      <c r="D268" s="96"/>
      <c r="E268" s="96"/>
      <c r="F268" s="96"/>
      <c r="G268" s="92"/>
      <c r="H268" s="92"/>
      <c r="I268" s="92"/>
      <c r="J268" s="92"/>
      <c r="K268" s="92"/>
    </row>
    <row r="269" spans="1:11" x14ac:dyDescent="0.2">
      <c r="A269" s="1" t="s">
        <v>319</v>
      </c>
      <c r="B269" s="1" t="str">
        <f>$B$9</f>
        <v>NAC</v>
      </c>
      <c r="C269" s="96"/>
      <c r="D269" s="96">
        <v>0</v>
      </c>
      <c r="E269" s="96">
        <v>0</v>
      </c>
      <c r="F269" s="96">
        <v>0</v>
      </c>
      <c r="G269" s="92">
        <v>0.186</v>
      </c>
      <c r="H269" s="92">
        <v>0.76</v>
      </c>
      <c r="I269" s="92">
        <v>0.72099999999999997</v>
      </c>
      <c r="J269" s="92">
        <v>0.93899999999999995</v>
      </c>
      <c r="K269" s="92">
        <v>0.98399999999999999</v>
      </c>
    </row>
    <row r="270" spans="1:11" x14ac:dyDescent="0.2">
      <c r="A270" s="1" t="s">
        <v>320</v>
      </c>
      <c r="B270" s="1" t="str">
        <f t="shared" ref="B270:B273" si="57">$B$9</f>
        <v>NAC</v>
      </c>
      <c r="C270" s="96"/>
      <c r="D270" s="96">
        <v>0</v>
      </c>
      <c r="E270" s="96">
        <v>0</v>
      </c>
      <c r="F270" s="96">
        <v>0</v>
      </c>
      <c r="G270" s="92">
        <v>0</v>
      </c>
      <c r="H270" s="92">
        <v>0</v>
      </c>
      <c r="I270" s="92">
        <v>2.3490000000000002</v>
      </c>
      <c r="J270" s="92">
        <v>2.347</v>
      </c>
      <c r="K270" s="92">
        <v>2.3450000000000002</v>
      </c>
    </row>
    <row r="271" spans="1:11" x14ac:dyDescent="0.2">
      <c r="A271" s="1" t="s">
        <v>321</v>
      </c>
      <c r="B271" s="1" t="str">
        <f t="shared" si="57"/>
        <v>NAC</v>
      </c>
      <c r="C271" s="96"/>
      <c r="D271" s="96">
        <v>0</v>
      </c>
      <c r="E271" s="96">
        <v>0</v>
      </c>
      <c r="F271" s="96">
        <v>0</v>
      </c>
      <c r="G271" s="92">
        <v>0</v>
      </c>
      <c r="H271" s="92">
        <v>0</v>
      </c>
      <c r="I271" s="92">
        <v>0</v>
      </c>
      <c r="J271" s="92">
        <v>2.4</v>
      </c>
      <c r="K271" s="92">
        <v>2.4</v>
      </c>
    </row>
    <row r="272" spans="1:11" x14ac:dyDescent="0.2">
      <c r="A272" s="1" t="s">
        <v>322</v>
      </c>
      <c r="B272" s="1" t="str">
        <f t="shared" si="57"/>
        <v>NAC</v>
      </c>
      <c r="C272" s="96"/>
      <c r="D272" s="96">
        <v>0</v>
      </c>
      <c r="E272" s="96">
        <v>0</v>
      </c>
      <c r="F272" s="96">
        <v>0</v>
      </c>
      <c r="G272" s="92">
        <v>0</v>
      </c>
      <c r="H272" s="92">
        <v>0</v>
      </c>
      <c r="I272" s="92">
        <v>0</v>
      </c>
      <c r="J272" s="92">
        <v>0</v>
      </c>
      <c r="K272" s="92">
        <v>2.4</v>
      </c>
    </row>
    <row r="273" spans="1:11" x14ac:dyDescent="0.2">
      <c r="A273" s="1" t="s">
        <v>323</v>
      </c>
      <c r="B273" s="1" t="str">
        <f t="shared" si="57"/>
        <v>NAC</v>
      </c>
      <c r="C273" s="96"/>
      <c r="D273" s="96">
        <v>0</v>
      </c>
      <c r="E273" s="96">
        <v>0</v>
      </c>
      <c r="F273" s="96">
        <v>0</v>
      </c>
      <c r="G273" s="92">
        <v>0</v>
      </c>
      <c r="H273" s="92">
        <v>0</v>
      </c>
      <c r="I273" s="92">
        <v>0</v>
      </c>
      <c r="J273" s="92">
        <v>0</v>
      </c>
      <c r="K273" s="92">
        <v>0</v>
      </c>
    </row>
    <row r="274" spans="1:11" ht="15" x14ac:dyDescent="0.25">
      <c r="A274" s="26" t="s">
        <v>326</v>
      </c>
      <c r="C274" s="96"/>
      <c r="D274" s="101" t="str">
        <f t="shared" ref="D274:K274" si="58">IF(ROUND(D$21-SUM(D$269:D$273),3)=0,"OK","ERROR")</f>
        <v>OK</v>
      </c>
      <c r="E274" s="101" t="str">
        <f t="shared" si="58"/>
        <v>OK</v>
      </c>
      <c r="F274" s="101" t="str">
        <f t="shared" si="58"/>
        <v>OK</v>
      </c>
      <c r="G274" s="102" t="str">
        <f t="shared" si="58"/>
        <v>OK</v>
      </c>
      <c r="H274" s="102" t="str">
        <f t="shared" si="58"/>
        <v>OK</v>
      </c>
      <c r="I274" s="102" t="str">
        <f t="shared" si="58"/>
        <v>OK</v>
      </c>
      <c r="J274" s="102" t="str">
        <f t="shared" si="58"/>
        <v>OK</v>
      </c>
      <c r="K274" s="102" t="str">
        <f t="shared" si="58"/>
        <v>OK</v>
      </c>
    </row>
    <row r="275" spans="1:11" ht="15" x14ac:dyDescent="0.25">
      <c r="A275" s="26" t="s">
        <v>324</v>
      </c>
      <c r="C275" s="96"/>
      <c r="D275" s="96"/>
      <c r="E275" s="96"/>
      <c r="F275" s="96"/>
      <c r="G275" s="92"/>
      <c r="H275" s="92"/>
      <c r="I275" s="92"/>
      <c r="J275" s="92"/>
      <c r="K275" s="92"/>
    </row>
    <row r="276" spans="1:11" x14ac:dyDescent="0.2">
      <c r="A276" s="1" t="s">
        <v>319</v>
      </c>
      <c r="B276" s="1" t="str">
        <f t="shared" ref="B276:B283" si="59">$B$11</f>
        <v>UIM</v>
      </c>
      <c r="C276" s="96"/>
      <c r="D276" s="96">
        <v>0</v>
      </c>
      <c r="E276" s="96">
        <v>0</v>
      </c>
      <c r="F276" s="96">
        <v>0</v>
      </c>
      <c r="G276" s="92">
        <v>0.185</v>
      </c>
      <c r="H276" s="92">
        <v>1.1479999999999999</v>
      </c>
      <c r="I276" s="92">
        <v>0.442</v>
      </c>
      <c r="J276" s="92">
        <v>0.27500000000000002</v>
      </c>
      <c r="K276" s="92">
        <v>3.2000000000000001E-2</v>
      </c>
    </row>
    <row r="277" spans="1:11" x14ac:dyDescent="0.2">
      <c r="A277" s="1" t="s">
        <v>607</v>
      </c>
      <c r="B277" s="1" t="str">
        <f t="shared" si="59"/>
        <v>UIM</v>
      </c>
      <c r="C277" s="96"/>
      <c r="D277" s="96">
        <v>0</v>
      </c>
      <c r="E277" s="96">
        <v>0</v>
      </c>
      <c r="F277" s="96">
        <v>0</v>
      </c>
      <c r="G277" s="92">
        <v>0</v>
      </c>
      <c r="H277" s="92">
        <v>0</v>
      </c>
      <c r="I277" s="92">
        <v>0</v>
      </c>
      <c r="J277" s="92">
        <v>0</v>
      </c>
      <c r="K277" s="92">
        <v>0</v>
      </c>
    </row>
    <row r="278" spans="1:11" x14ac:dyDescent="0.2">
      <c r="A278" s="1" t="s">
        <v>608</v>
      </c>
      <c r="B278" s="1" t="str">
        <f t="shared" si="59"/>
        <v>UIM</v>
      </c>
      <c r="C278" s="96"/>
      <c r="D278" s="96">
        <v>0</v>
      </c>
      <c r="E278" s="96">
        <v>0</v>
      </c>
      <c r="F278" s="96">
        <v>0</v>
      </c>
      <c r="G278" s="92">
        <v>0</v>
      </c>
      <c r="H278" s="92">
        <v>0.11899999999999999</v>
      </c>
      <c r="I278" s="92">
        <v>0.98099999999999998</v>
      </c>
      <c r="J278" s="92">
        <v>0.98099999999999998</v>
      </c>
      <c r="K278" s="92">
        <v>0.59499999999999997</v>
      </c>
    </row>
    <row r="279" spans="1:11" x14ac:dyDescent="0.2">
      <c r="A279" s="1" t="s">
        <v>609</v>
      </c>
      <c r="B279" s="1" t="str">
        <f t="shared" si="59"/>
        <v>UIM</v>
      </c>
      <c r="C279" s="96"/>
      <c r="D279" s="96">
        <v>0</v>
      </c>
      <c r="E279" s="96">
        <v>0</v>
      </c>
      <c r="F279" s="96">
        <v>0</v>
      </c>
      <c r="G279" s="92">
        <v>0</v>
      </c>
      <c r="H279" s="92">
        <v>0</v>
      </c>
      <c r="I279" s="92">
        <v>0.11899999999999999</v>
      </c>
      <c r="J279" s="92">
        <v>0.98099999999999998</v>
      </c>
      <c r="K279" s="92">
        <v>0.98099999999999998</v>
      </c>
    </row>
    <row r="280" spans="1:11" x14ac:dyDescent="0.2">
      <c r="A280" s="1" t="s">
        <v>610</v>
      </c>
      <c r="B280" s="1" t="str">
        <f t="shared" si="59"/>
        <v>UIM</v>
      </c>
      <c r="C280" s="96"/>
      <c r="D280" s="96">
        <v>0</v>
      </c>
      <c r="E280" s="96">
        <v>0</v>
      </c>
      <c r="F280" s="96">
        <v>0</v>
      </c>
      <c r="G280" s="92">
        <v>0</v>
      </c>
      <c r="H280" s="92">
        <v>0</v>
      </c>
      <c r="I280" s="92">
        <v>0</v>
      </c>
      <c r="J280" s="92">
        <v>0.12</v>
      </c>
      <c r="K280" s="92">
        <v>0.99</v>
      </c>
    </row>
    <row r="281" spans="1:11" x14ac:dyDescent="0.2">
      <c r="A281" s="1" t="s">
        <v>611</v>
      </c>
      <c r="B281" s="1" t="str">
        <f t="shared" si="59"/>
        <v>UIM</v>
      </c>
      <c r="C281" s="96"/>
      <c r="D281" s="96">
        <v>0</v>
      </c>
      <c r="E281" s="96">
        <v>0</v>
      </c>
      <c r="F281" s="96">
        <v>0</v>
      </c>
      <c r="G281" s="92">
        <v>0</v>
      </c>
      <c r="H281" s="92">
        <v>0</v>
      </c>
      <c r="I281" s="92">
        <v>0</v>
      </c>
      <c r="J281" s="92">
        <v>0</v>
      </c>
      <c r="K281" s="92">
        <v>0.111</v>
      </c>
    </row>
    <row r="282" spans="1:11" ht="15" x14ac:dyDescent="0.25">
      <c r="A282" s="26" t="s">
        <v>327</v>
      </c>
      <c r="C282" s="96"/>
      <c r="D282" s="101" t="str">
        <f>IF(ROUND(D$124-SUM($C$276:D$281),3)=0,"OK","ERROR")</f>
        <v>OK</v>
      </c>
      <c r="E282" s="101" t="str">
        <f>IF(ROUND(E$124-SUM($C$276:E$281),3)=0,"OK","ERROR")</f>
        <v>OK</v>
      </c>
      <c r="F282" s="101" t="str">
        <f>IF(ROUND(F$124-SUM($C$276:F$281),3)=0,"OK","ERROR")</f>
        <v>OK</v>
      </c>
      <c r="G282" s="102" t="str">
        <f>IF(ROUND(G$124-SUM($C$276:G$281),3)=0,"OK","ERROR")</f>
        <v>OK</v>
      </c>
      <c r="H282" s="102" t="str">
        <f>IF(ROUND(H$124-SUM($C$276:H$281),3)=0,"OK","ERROR")</f>
        <v>OK</v>
      </c>
      <c r="I282" s="102" t="str">
        <f>IF(ROUND(I$124-SUM($C$276:I$281),3)=0,"OK","ERROR")</f>
        <v>OK</v>
      </c>
      <c r="J282" s="102" t="str">
        <f>IF(ROUND(J$124-SUM($C$276:J$281),3)=0,"OK","ERROR")</f>
        <v>OK</v>
      </c>
      <c r="K282" s="102" t="str">
        <f>IF(ROUND(K$124-SUM($C$276:K$281),3)=0,"OK","ERROR")</f>
        <v>OK</v>
      </c>
    </row>
    <row r="283" spans="1:11" x14ac:dyDescent="0.2">
      <c r="A283" s="1" t="s">
        <v>325</v>
      </c>
      <c r="B283" s="1" t="str">
        <f t="shared" si="59"/>
        <v>UIM</v>
      </c>
      <c r="C283" s="96"/>
      <c r="D283" s="96">
        <v>0</v>
      </c>
      <c r="E283" s="96">
        <v>0</v>
      </c>
      <c r="F283" s="96">
        <v>2.0819999999999999</v>
      </c>
      <c r="G283" s="92">
        <v>0</v>
      </c>
      <c r="H283" s="92">
        <v>2.9729999999999999</v>
      </c>
      <c r="I283" s="92">
        <v>2.9729999999999999</v>
      </c>
      <c r="J283" s="92">
        <v>3</v>
      </c>
      <c r="K283" s="92">
        <v>3</v>
      </c>
    </row>
    <row r="284" spans="1:11" ht="15" x14ac:dyDescent="0.25">
      <c r="A284" s="26" t="s">
        <v>344</v>
      </c>
      <c r="C284" s="96"/>
      <c r="D284" s="96"/>
      <c r="E284" s="96"/>
      <c r="F284" s="96"/>
      <c r="G284" s="92"/>
      <c r="H284" s="92"/>
      <c r="I284" s="92"/>
      <c r="J284" s="92"/>
      <c r="K284" s="92"/>
    </row>
    <row r="285" spans="1:11" x14ac:dyDescent="0.2">
      <c r="A285" s="1" t="s">
        <v>298</v>
      </c>
      <c r="B285" s="1" t="str">
        <f>$B$9</f>
        <v>NAC</v>
      </c>
      <c r="C285" s="96"/>
      <c r="D285" s="96">
        <v>4.3890000000000002</v>
      </c>
      <c r="E285" s="96">
        <v>0.29899999999999999</v>
      </c>
      <c r="F285" s="96">
        <v>5.2450000000000001</v>
      </c>
      <c r="G285" s="92">
        <v>4.3369999999999997</v>
      </c>
      <c r="H285" s="92">
        <v>2.7440000000000002</v>
      </c>
      <c r="I285" s="92">
        <v>3.0379999999999998</v>
      </c>
      <c r="J285" s="92">
        <v>3.4079999999999999</v>
      </c>
      <c r="K285" s="92">
        <v>3.8559999999999999</v>
      </c>
    </row>
    <row r="286" spans="1:11" x14ac:dyDescent="0.2">
      <c r="A286" s="1" t="s">
        <v>272</v>
      </c>
      <c r="B286" s="1" t="str">
        <f>$B$11</f>
        <v>UIM</v>
      </c>
      <c r="C286" s="96"/>
      <c r="D286" s="96">
        <v>2.7519999999999998</v>
      </c>
      <c r="E286" s="96">
        <v>1.7929999999999999</v>
      </c>
      <c r="F286" s="96">
        <v>0.93200000000000005</v>
      </c>
      <c r="G286" s="92">
        <v>1.2</v>
      </c>
      <c r="H286" s="92">
        <v>0.19400000000000001</v>
      </c>
      <c r="I286" s="92">
        <v>0.28100000000000003</v>
      </c>
      <c r="J286" s="92">
        <v>0.33900000000000002</v>
      </c>
      <c r="K286" s="92">
        <v>0.39100000000000001</v>
      </c>
    </row>
    <row r="287" spans="1:11" x14ac:dyDescent="0.2">
      <c r="A287" s="1" t="s">
        <v>345</v>
      </c>
      <c r="B287" s="1" t="str">
        <f>$B$11</f>
        <v>UIM</v>
      </c>
      <c r="C287" s="96"/>
      <c r="D287" s="96">
        <v>-6.3E-2</v>
      </c>
      <c r="E287" s="96">
        <v>-5.0999999999999997E-2</v>
      </c>
      <c r="F287" s="96">
        <v>0.2</v>
      </c>
      <c r="G287" s="92">
        <v>4.2999999999999997E-2</v>
      </c>
      <c r="H287" s="92">
        <v>6.8000000000000005E-2</v>
      </c>
      <c r="I287" s="92">
        <v>3.5000000000000003E-2</v>
      </c>
      <c r="J287" s="92">
        <v>3.2000000000000001E-2</v>
      </c>
      <c r="K287" s="92">
        <v>3.1E-2</v>
      </c>
    </row>
    <row r="288" spans="1:11" x14ac:dyDescent="0.2">
      <c r="A288" s="1" t="s">
        <v>274</v>
      </c>
      <c r="B288" s="1" t="str">
        <f>$B$9</f>
        <v>NAC</v>
      </c>
      <c r="C288" s="96"/>
      <c r="D288" s="96">
        <v>-0.88200000000000001</v>
      </c>
      <c r="E288" s="96">
        <v>-0.92400000000000004</v>
      </c>
      <c r="F288" s="96">
        <v>-4.7E-2</v>
      </c>
      <c r="G288" s="92">
        <v>-0.32900000000000001</v>
      </c>
      <c r="H288" s="92">
        <v>-0.11899999999999999</v>
      </c>
      <c r="I288" s="92">
        <v>-0.13900000000000001</v>
      </c>
      <c r="J288" s="92">
        <v>-0.152</v>
      </c>
      <c r="K288" s="92">
        <v>-0.161</v>
      </c>
    </row>
    <row r="289" spans="1:11" ht="15" x14ac:dyDescent="0.25">
      <c r="A289" s="26" t="s">
        <v>387</v>
      </c>
      <c r="C289" s="96"/>
      <c r="D289" s="101" t="str">
        <f t="shared" ref="D289:K289" si="60">IF(ROUND(D$26-SUM(D$285:D$288),3)=0,"OK","ERROR")</f>
        <v>OK</v>
      </c>
      <c r="E289" s="101" t="str">
        <f t="shared" si="60"/>
        <v>OK</v>
      </c>
      <c r="F289" s="101" t="str">
        <f t="shared" si="60"/>
        <v>OK</v>
      </c>
      <c r="G289" s="102" t="str">
        <f t="shared" si="60"/>
        <v>OK</v>
      </c>
      <c r="H289" s="102" t="str">
        <f t="shared" si="60"/>
        <v>OK</v>
      </c>
      <c r="I289" s="102" t="str">
        <f t="shared" si="60"/>
        <v>OK</v>
      </c>
      <c r="J289" s="102" t="str">
        <f t="shared" si="60"/>
        <v>OK</v>
      </c>
      <c r="K289" s="102" t="str">
        <f t="shared" si="60"/>
        <v>OK</v>
      </c>
    </row>
    <row r="290" spans="1:11" ht="15" x14ac:dyDescent="0.25">
      <c r="A290" s="26" t="s">
        <v>346</v>
      </c>
      <c r="C290" s="96"/>
      <c r="D290" s="104"/>
      <c r="E290" s="104"/>
      <c r="F290" s="104"/>
      <c r="G290" s="105"/>
      <c r="H290" s="105"/>
      <c r="I290" s="105"/>
      <c r="J290" s="105"/>
      <c r="K290" s="105"/>
    </row>
    <row r="291" spans="1:11" x14ac:dyDescent="0.2">
      <c r="A291" s="1" t="s">
        <v>298</v>
      </c>
      <c r="B291" s="1" t="str">
        <f>$B$9</f>
        <v>NAC</v>
      </c>
      <c r="C291" s="96"/>
      <c r="D291" s="96">
        <v>-0.71899999999999997</v>
      </c>
      <c r="E291" s="96">
        <v>-3.5579999999999998</v>
      </c>
      <c r="F291" s="96">
        <v>1.069</v>
      </c>
      <c r="G291" s="92">
        <v>-0.62</v>
      </c>
      <c r="H291" s="92">
        <v>0</v>
      </c>
      <c r="I291" s="92">
        <v>0</v>
      </c>
      <c r="J291" s="92">
        <v>0</v>
      </c>
      <c r="K291" s="92">
        <v>0</v>
      </c>
    </row>
    <row r="292" spans="1:11" x14ac:dyDescent="0.2">
      <c r="A292" s="1" t="s">
        <v>272</v>
      </c>
      <c r="B292" s="1" t="str">
        <f>$B$11</f>
        <v>UIM</v>
      </c>
      <c r="C292" s="96"/>
      <c r="D292" s="96">
        <v>-1.335</v>
      </c>
      <c r="E292" s="96">
        <v>-5.093</v>
      </c>
      <c r="F292" s="96">
        <v>0.35899999999999999</v>
      </c>
      <c r="G292" s="92">
        <v>-0.95899999999999996</v>
      </c>
      <c r="H292" s="92">
        <v>-8.3000000000000004E-2</v>
      </c>
      <c r="I292" s="92">
        <v>-0.08</v>
      </c>
      <c r="J292" s="92">
        <v>-7.6999999999999999E-2</v>
      </c>
      <c r="K292" s="92">
        <v>-0.08</v>
      </c>
    </row>
    <row r="293" spans="1:11" x14ac:dyDescent="0.2">
      <c r="A293" s="1" t="s">
        <v>345</v>
      </c>
      <c r="B293" s="1" t="str">
        <f>$B$11</f>
        <v>UIM</v>
      </c>
      <c r="C293" s="96"/>
      <c r="D293" s="96">
        <v>0.40500000000000003</v>
      </c>
      <c r="E293" s="96">
        <v>5.7000000000000002E-2</v>
      </c>
      <c r="F293" s="96">
        <v>-0.107</v>
      </c>
      <c r="G293" s="92">
        <v>0</v>
      </c>
      <c r="H293" s="92">
        <v>0</v>
      </c>
      <c r="I293" s="92">
        <v>0</v>
      </c>
      <c r="J293" s="92">
        <v>0</v>
      </c>
      <c r="K293" s="92">
        <v>0</v>
      </c>
    </row>
    <row r="294" spans="1:11" x14ac:dyDescent="0.2">
      <c r="A294" s="1" t="s">
        <v>274</v>
      </c>
      <c r="B294" s="1" t="str">
        <f>$B$9</f>
        <v>NAC</v>
      </c>
      <c r="C294" s="96"/>
      <c r="D294" s="96">
        <v>0</v>
      </c>
      <c r="E294" s="96">
        <v>-4.2000000000000003E-2</v>
      </c>
      <c r="F294" s="96">
        <v>0</v>
      </c>
      <c r="G294" s="92">
        <v>0</v>
      </c>
      <c r="H294" s="92">
        <v>0</v>
      </c>
      <c r="I294" s="92">
        <v>0</v>
      </c>
      <c r="J294" s="92">
        <v>0</v>
      </c>
      <c r="K294" s="92">
        <v>0</v>
      </c>
    </row>
    <row r="295" spans="1:11" ht="15" x14ac:dyDescent="0.25">
      <c r="A295" s="26" t="s">
        <v>388</v>
      </c>
      <c r="C295" s="96"/>
      <c r="D295" s="101" t="str">
        <f t="shared" ref="D295:K295" si="61">IF(ROUND(D$27-SUM(D$291:D$294),3)=0,"OK","ERROR")</f>
        <v>OK</v>
      </c>
      <c r="E295" s="101" t="str">
        <f t="shared" si="61"/>
        <v>OK</v>
      </c>
      <c r="F295" s="101" t="str">
        <f t="shared" si="61"/>
        <v>OK</v>
      </c>
      <c r="G295" s="102" t="str">
        <f t="shared" si="61"/>
        <v>OK</v>
      </c>
      <c r="H295" s="102" t="str">
        <f t="shared" si="61"/>
        <v>OK</v>
      </c>
      <c r="I295" s="102" t="str">
        <f t="shared" si="61"/>
        <v>OK</v>
      </c>
      <c r="J295" s="102" t="str">
        <f t="shared" si="61"/>
        <v>OK</v>
      </c>
      <c r="K295" s="102" t="str">
        <f t="shared" si="61"/>
        <v>OK</v>
      </c>
    </row>
    <row r="296" spans="1:11" ht="15" x14ac:dyDescent="0.25">
      <c r="A296" s="26" t="s">
        <v>640</v>
      </c>
      <c r="C296" s="96"/>
      <c r="D296" s="104"/>
      <c r="E296" s="104"/>
      <c r="F296" s="104"/>
      <c r="G296" s="105"/>
      <c r="H296" s="105"/>
      <c r="I296" s="105"/>
      <c r="J296" s="105"/>
      <c r="K296" s="105"/>
    </row>
    <row r="297" spans="1:11" x14ac:dyDescent="0.2">
      <c r="A297" s="1" t="s">
        <v>298</v>
      </c>
      <c r="B297" s="1" t="str">
        <f>$B$9</f>
        <v>NAC</v>
      </c>
      <c r="C297" s="96"/>
      <c r="D297" s="96">
        <v>3.879</v>
      </c>
      <c r="E297" s="96">
        <v>-0.91200000000000003</v>
      </c>
      <c r="F297" s="96">
        <v>12.064</v>
      </c>
      <c r="G297" s="92">
        <v>8.0690000000000008</v>
      </c>
      <c r="H297" s="92">
        <v>7.1139999999999999</v>
      </c>
      <c r="I297" s="92">
        <v>9.3070000000000004</v>
      </c>
      <c r="J297" s="92">
        <v>9.9930000000000003</v>
      </c>
      <c r="K297" s="92">
        <v>12.128</v>
      </c>
    </row>
    <row r="298" spans="1:11" x14ac:dyDescent="0.2">
      <c r="A298" s="1" t="s">
        <v>272</v>
      </c>
      <c r="B298" s="1" t="str">
        <f>$B$9</f>
        <v>NAC</v>
      </c>
      <c r="C298" s="96"/>
      <c r="D298" s="96">
        <v>2.786</v>
      </c>
      <c r="E298" s="96">
        <v>-3.48</v>
      </c>
      <c r="F298" s="96">
        <v>0.41899999999999998</v>
      </c>
      <c r="G298" s="92">
        <v>-0.34499999999999997</v>
      </c>
      <c r="H298" s="92">
        <v>-6.2E-2</v>
      </c>
      <c r="I298" s="92">
        <v>-0.22800000000000001</v>
      </c>
      <c r="J298" s="92">
        <v>-0.35</v>
      </c>
      <c r="K298" s="92">
        <v>-0.41</v>
      </c>
    </row>
    <row r="299" spans="1:11" x14ac:dyDescent="0.2">
      <c r="A299" s="1" t="s">
        <v>345</v>
      </c>
      <c r="B299" s="1" t="str">
        <f>$B$9</f>
        <v>NAC</v>
      </c>
      <c r="C299" s="96"/>
      <c r="D299" s="96">
        <v>0.68899999999999995</v>
      </c>
      <c r="E299" s="96">
        <v>0.72</v>
      </c>
      <c r="F299" s="96">
        <v>0.60499999999999998</v>
      </c>
      <c r="G299" s="92">
        <v>0.40600000000000003</v>
      </c>
      <c r="H299" s="92">
        <v>0.61899999999999999</v>
      </c>
      <c r="I299" s="92">
        <v>0.78600000000000003</v>
      </c>
      <c r="J299" s="92">
        <v>0.90300000000000002</v>
      </c>
      <c r="K299" s="92">
        <v>0.94299999999999995</v>
      </c>
    </row>
    <row r="300" spans="1:11" x14ac:dyDescent="0.2">
      <c r="A300" s="1" t="s">
        <v>274</v>
      </c>
      <c r="B300" s="1" t="str">
        <f>$B$9</f>
        <v>NAC</v>
      </c>
      <c r="C300" s="96"/>
      <c r="D300" s="96">
        <v>-1.583</v>
      </c>
      <c r="E300" s="96">
        <v>-1.6970000000000001</v>
      </c>
      <c r="F300" s="96">
        <v>-0.77100000000000002</v>
      </c>
      <c r="G300" s="92">
        <v>-1.133</v>
      </c>
      <c r="H300" s="92">
        <v>-0.89800000000000002</v>
      </c>
      <c r="I300" s="92">
        <v>-1.028</v>
      </c>
      <c r="J300" s="92">
        <v>-0.97899999999999998</v>
      </c>
      <c r="K300" s="92">
        <v>-1.0089999999999999</v>
      </c>
    </row>
    <row r="301" spans="1:11" ht="15" x14ac:dyDescent="0.25">
      <c r="A301" s="26" t="s">
        <v>1195</v>
      </c>
      <c r="C301" s="96"/>
      <c r="D301" s="101" t="str">
        <f t="shared" ref="D301:K301" si="62">IF(ROUND(D$31-SUM(D$297:D$300),3)=0,"OK","ERROR")</f>
        <v>OK</v>
      </c>
      <c r="E301" s="101" t="str">
        <f t="shared" si="62"/>
        <v>OK</v>
      </c>
      <c r="F301" s="101" t="str">
        <f t="shared" si="62"/>
        <v>OK</v>
      </c>
      <c r="G301" s="102" t="str">
        <f t="shared" si="62"/>
        <v>OK</v>
      </c>
      <c r="H301" s="102" t="str">
        <f t="shared" si="62"/>
        <v>OK</v>
      </c>
      <c r="I301" s="102" t="str">
        <f t="shared" si="62"/>
        <v>OK</v>
      </c>
      <c r="J301" s="102" t="str">
        <f t="shared" si="62"/>
        <v>OK</v>
      </c>
      <c r="K301" s="102" t="str">
        <f t="shared" si="62"/>
        <v>OK</v>
      </c>
    </row>
    <row r="302" spans="1:11" ht="15" x14ac:dyDescent="0.25">
      <c r="A302" s="26" t="s">
        <v>390</v>
      </c>
      <c r="C302" s="96"/>
      <c r="D302" s="96"/>
      <c r="E302" s="96"/>
      <c r="F302" s="96"/>
      <c r="G302" s="92"/>
      <c r="H302" s="92"/>
      <c r="I302" s="92"/>
      <c r="J302" s="92"/>
      <c r="K302" s="92"/>
    </row>
    <row r="303" spans="1:11" x14ac:dyDescent="0.2">
      <c r="A303" s="1" t="s">
        <v>347</v>
      </c>
      <c r="B303" s="1" t="str">
        <f>$B$11</f>
        <v>UIM</v>
      </c>
      <c r="C303" s="96"/>
      <c r="D303" s="96">
        <v>8.9570000000000007</v>
      </c>
      <c r="E303" s="96">
        <v>9.1609999999999996</v>
      </c>
      <c r="F303" s="96">
        <v>10.313000000000001</v>
      </c>
      <c r="G303" s="92">
        <v>10.507</v>
      </c>
      <c r="H303" s="92">
        <v>11.148</v>
      </c>
      <c r="I303" s="92">
        <v>11.704000000000001</v>
      </c>
      <c r="J303" s="92">
        <v>12.391999999999999</v>
      </c>
      <c r="K303" s="92">
        <v>13.061999999999999</v>
      </c>
    </row>
    <row r="304" spans="1:11" x14ac:dyDescent="0.2">
      <c r="A304" s="1" t="s">
        <v>348</v>
      </c>
      <c r="B304" s="1" t="str">
        <f>$B$9</f>
        <v>NAC</v>
      </c>
      <c r="C304" s="96"/>
      <c r="D304" s="96">
        <v>8.6449999999999996</v>
      </c>
      <c r="E304" s="96">
        <v>7.6280000000000001</v>
      </c>
      <c r="F304" s="96">
        <v>8.2159999999999993</v>
      </c>
      <c r="G304" s="92">
        <v>8.81</v>
      </c>
      <c r="H304" s="92">
        <v>9.6219999999999999</v>
      </c>
      <c r="I304" s="92">
        <v>10.14</v>
      </c>
      <c r="J304" s="92">
        <v>11.087999999999999</v>
      </c>
      <c r="K304" s="92">
        <v>11.695</v>
      </c>
    </row>
    <row r="305" spans="1:11" ht="15" x14ac:dyDescent="0.25">
      <c r="A305" s="26" t="s">
        <v>389</v>
      </c>
      <c r="C305" s="96"/>
      <c r="D305" s="101" t="str">
        <f t="shared" ref="D305:K305" si="63">IF(ROUND(D$115-SUM(D$303:D$304),3)=0,"OK","ERROR")</f>
        <v>OK</v>
      </c>
      <c r="E305" s="101" t="str">
        <f t="shared" si="63"/>
        <v>OK</v>
      </c>
      <c r="F305" s="101" t="str">
        <f t="shared" si="63"/>
        <v>OK</v>
      </c>
      <c r="G305" s="102" t="str">
        <f t="shared" si="63"/>
        <v>OK</v>
      </c>
      <c r="H305" s="102" t="str">
        <f t="shared" si="63"/>
        <v>OK</v>
      </c>
      <c r="I305" s="102" t="str">
        <f t="shared" si="63"/>
        <v>OK</v>
      </c>
      <c r="J305" s="102" t="str">
        <f t="shared" si="63"/>
        <v>OK</v>
      </c>
      <c r="K305" s="102" t="str">
        <f t="shared" si="63"/>
        <v>OK</v>
      </c>
    </row>
    <row r="306" spans="1:11" ht="15" x14ac:dyDescent="0.25">
      <c r="A306" s="26" t="s">
        <v>391</v>
      </c>
      <c r="C306" s="96"/>
      <c r="D306" s="104"/>
      <c r="E306" s="104"/>
      <c r="F306" s="104"/>
      <c r="G306" s="105"/>
      <c r="H306" s="105"/>
      <c r="I306" s="105"/>
      <c r="J306" s="105"/>
      <c r="K306" s="105"/>
    </row>
    <row r="307" spans="1:11" ht="15" x14ac:dyDescent="0.25">
      <c r="A307" s="1" t="s">
        <v>350</v>
      </c>
      <c r="B307" s="1" t="str">
        <f>$B$9</f>
        <v>NAC</v>
      </c>
      <c r="C307" s="99">
        <v>8.7159999999999993</v>
      </c>
      <c r="D307" s="96">
        <v>8.8640000000000008</v>
      </c>
      <c r="E307" s="96">
        <v>8.9819999999999993</v>
      </c>
      <c r="F307" s="96">
        <v>9.1969999999999992</v>
      </c>
      <c r="G307" s="92">
        <v>9.3170000000000002</v>
      </c>
      <c r="H307" s="92">
        <v>9.2170000000000005</v>
      </c>
      <c r="I307" s="92">
        <v>9.0389999999999997</v>
      </c>
      <c r="J307" s="92">
        <v>8.7889999999999997</v>
      </c>
      <c r="K307" s="92">
        <v>8.4489999999999998</v>
      </c>
    </row>
    <row r="308" spans="1:11" x14ac:dyDescent="0.2">
      <c r="A308" s="1" t="s">
        <v>349</v>
      </c>
      <c r="B308" s="1" t="str">
        <f t="shared" ref="B308:B315" si="64">$B$11</f>
        <v>UIM</v>
      </c>
      <c r="C308" s="96"/>
      <c r="D308" s="96">
        <v>15.598000000000001</v>
      </c>
      <c r="E308" s="96">
        <v>16.689</v>
      </c>
      <c r="F308" s="96">
        <v>17.795000000000002</v>
      </c>
      <c r="G308" s="92">
        <v>18.402000000000001</v>
      </c>
      <c r="H308" s="92">
        <v>19.501999999999999</v>
      </c>
      <c r="I308" s="92">
        <v>20.602</v>
      </c>
      <c r="J308" s="92">
        <v>21.702000000000002</v>
      </c>
      <c r="K308" s="92">
        <v>22.802</v>
      </c>
    </row>
    <row r="309" spans="1:11" ht="15" x14ac:dyDescent="0.25">
      <c r="A309" s="26" t="s">
        <v>350</v>
      </c>
      <c r="C309" s="96"/>
      <c r="D309" s="96"/>
      <c r="E309" s="96"/>
      <c r="F309" s="96"/>
      <c r="G309" s="92"/>
      <c r="H309" s="92"/>
      <c r="I309" s="92"/>
      <c r="J309" s="92"/>
      <c r="K309" s="92"/>
    </row>
    <row r="310" spans="1:11" x14ac:dyDescent="0.2">
      <c r="A310" s="1" t="s">
        <v>898</v>
      </c>
      <c r="B310" s="1" t="str">
        <f t="shared" si="64"/>
        <v>UIM</v>
      </c>
      <c r="C310" s="96"/>
      <c r="D310" s="96">
        <v>1.518</v>
      </c>
      <c r="E310" s="96">
        <v>1.512</v>
      </c>
      <c r="F310" s="96">
        <v>1.4750000000000001</v>
      </c>
      <c r="G310" s="92">
        <v>1.3759999999999999</v>
      </c>
      <c r="H310" s="92">
        <v>1.3660000000000001</v>
      </c>
      <c r="I310" s="92">
        <v>1.401</v>
      </c>
      <c r="J310" s="92">
        <v>1.452</v>
      </c>
      <c r="K310" s="92">
        <v>1.49</v>
      </c>
    </row>
    <row r="311" spans="1:11" x14ac:dyDescent="0.2">
      <c r="A311" s="1" t="s">
        <v>900</v>
      </c>
      <c r="B311" s="1" t="str">
        <f t="shared" si="64"/>
        <v>UIM</v>
      </c>
      <c r="C311" s="96"/>
      <c r="D311" s="96">
        <v>1.0999999999999999E-2</v>
      </c>
      <c r="E311" s="96">
        <v>0.01</v>
      </c>
      <c r="F311" s="96">
        <v>0.01</v>
      </c>
      <c r="G311" s="92">
        <v>8.9999999999999993E-3</v>
      </c>
      <c r="H311" s="92">
        <v>8.9999999999999993E-3</v>
      </c>
      <c r="I311" s="92">
        <v>8.0000000000000002E-3</v>
      </c>
      <c r="J311" s="92">
        <v>0.01</v>
      </c>
      <c r="K311" s="92">
        <v>0.01</v>
      </c>
    </row>
    <row r="312" spans="1:11" x14ac:dyDescent="0.2">
      <c r="A312" s="1" t="s">
        <v>351</v>
      </c>
      <c r="B312" s="1" t="str">
        <f t="shared" si="64"/>
        <v>UIM</v>
      </c>
      <c r="C312" s="96"/>
      <c r="D312" s="96">
        <v>-0.60199999999999998</v>
      </c>
      <c r="E312" s="96">
        <v>-0.65900000000000003</v>
      </c>
      <c r="F312" s="96">
        <v>-0.66200000000000003</v>
      </c>
      <c r="G312" s="92">
        <v>-0.61499999999999999</v>
      </c>
      <c r="H312" s="92">
        <v>-0.61</v>
      </c>
      <c r="I312" s="92">
        <v>-0.626</v>
      </c>
      <c r="J312" s="92">
        <v>-0.64900000000000002</v>
      </c>
      <c r="K312" s="92">
        <v>-0.66600000000000004</v>
      </c>
    </row>
    <row r="313" spans="1:11" x14ac:dyDescent="0.2">
      <c r="A313" s="1" t="s">
        <v>352</v>
      </c>
      <c r="B313" s="1" t="str">
        <f t="shared" si="64"/>
        <v>UIM</v>
      </c>
      <c r="C313" s="96"/>
      <c r="D313" s="96">
        <v>-1.1140000000000001</v>
      </c>
      <c r="E313" s="96">
        <v>-1.208</v>
      </c>
      <c r="F313" s="96">
        <v>-1.272</v>
      </c>
      <c r="G313" s="92">
        <v>-1.353</v>
      </c>
      <c r="H313" s="92">
        <v>-1.4490000000000001</v>
      </c>
      <c r="I313" s="92">
        <v>-1.5349999999999999</v>
      </c>
      <c r="J313" s="92">
        <v>-1.621</v>
      </c>
      <c r="K313" s="92">
        <v>-1.7110000000000001</v>
      </c>
    </row>
    <row r="314" spans="1:11" x14ac:dyDescent="0.2">
      <c r="A314" s="1" t="s">
        <v>89</v>
      </c>
      <c r="B314" s="1" t="str">
        <f t="shared" si="64"/>
        <v>UIM</v>
      </c>
      <c r="C314" s="96"/>
      <c r="D314" s="96">
        <v>0.60399999999999998</v>
      </c>
      <c r="E314" s="96">
        <v>0.60299999999999998</v>
      </c>
      <c r="F314" s="96">
        <v>0.60199999999999998</v>
      </c>
      <c r="G314" s="92">
        <v>0.59</v>
      </c>
      <c r="H314" s="92">
        <v>0.58399999999999996</v>
      </c>
      <c r="I314" s="92">
        <v>0.57399999999999995</v>
      </c>
      <c r="J314" s="92">
        <v>0.55800000000000005</v>
      </c>
      <c r="K314" s="92">
        <v>0.53700000000000003</v>
      </c>
    </row>
    <row r="315" spans="1:11" x14ac:dyDescent="0.2">
      <c r="A315" s="1" t="s">
        <v>353</v>
      </c>
      <c r="B315" s="1" t="str">
        <f t="shared" si="64"/>
        <v>UIM</v>
      </c>
      <c r="C315" s="96"/>
      <c r="D315" s="96">
        <v>-0.26900000000000002</v>
      </c>
      <c r="E315" s="96">
        <v>-0.14000000000000001</v>
      </c>
      <c r="F315" s="96">
        <v>6.2E-2</v>
      </c>
      <c r="G315" s="92">
        <v>0.113</v>
      </c>
      <c r="H315" s="92">
        <v>0</v>
      </c>
      <c r="I315" s="92">
        <v>0</v>
      </c>
      <c r="J315" s="92">
        <v>0</v>
      </c>
      <c r="K315" s="92">
        <v>0</v>
      </c>
    </row>
    <row r="316" spans="1:11" ht="15" x14ac:dyDescent="0.25">
      <c r="A316" s="26" t="s">
        <v>392</v>
      </c>
      <c r="C316" s="96"/>
      <c r="D316" s="101" t="str">
        <f t="shared" ref="D316:K316" si="65">IF(ROUND(D$307-SUM(C$307,D$310:D$315),3)=0,"OK","ERROR")</f>
        <v>OK</v>
      </c>
      <c r="E316" s="101" t="str">
        <f t="shared" si="65"/>
        <v>OK</v>
      </c>
      <c r="F316" s="101" t="str">
        <f t="shared" si="65"/>
        <v>OK</v>
      </c>
      <c r="G316" s="102" t="str">
        <f t="shared" si="65"/>
        <v>OK</v>
      </c>
      <c r="H316" s="102" t="str">
        <f t="shared" si="65"/>
        <v>OK</v>
      </c>
      <c r="I316" s="102" t="str">
        <f t="shared" si="65"/>
        <v>OK</v>
      </c>
      <c r="J316" s="102" t="str">
        <f t="shared" si="65"/>
        <v>OK</v>
      </c>
      <c r="K316" s="102" t="str">
        <f t="shared" si="65"/>
        <v>OK</v>
      </c>
    </row>
    <row r="317" spans="1:11" ht="15" x14ac:dyDescent="0.25">
      <c r="A317" s="26" t="s">
        <v>394</v>
      </c>
      <c r="C317" s="96"/>
      <c r="D317" s="96"/>
      <c r="E317" s="96"/>
      <c r="F317" s="96"/>
      <c r="G317" s="92"/>
      <c r="H317" s="92"/>
      <c r="I317" s="92"/>
      <c r="J317" s="92"/>
      <c r="K317" s="92"/>
    </row>
    <row r="318" spans="1:11" x14ac:dyDescent="0.2">
      <c r="A318" s="1" t="s">
        <v>272</v>
      </c>
      <c r="B318" s="1" t="str">
        <f>$B$11</f>
        <v>UIM</v>
      </c>
      <c r="C318" s="96"/>
      <c r="D318" s="96">
        <v>61.417000000000002</v>
      </c>
      <c r="E318" s="96">
        <v>66.769000000000005</v>
      </c>
      <c r="F318" s="96">
        <v>72.599000000000004</v>
      </c>
      <c r="G318" s="92">
        <v>76.078000000000003</v>
      </c>
      <c r="H318" s="92">
        <v>80.823999999999998</v>
      </c>
      <c r="I318" s="92">
        <v>83.265000000000001</v>
      </c>
      <c r="J318" s="92">
        <v>85.245999999999995</v>
      </c>
      <c r="K318" s="92">
        <v>86.668999999999997</v>
      </c>
    </row>
    <row r="319" spans="1:11" x14ac:dyDescent="0.2">
      <c r="A319" s="1" t="s">
        <v>345</v>
      </c>
      <c r="B319" s="1" t="str">
        <f>$B$11</f>
        <v>UIM</v>
      </c>
      <c r="C319" s="96"/>
      <c r="D319" s="96">
        <v>30.852</v>
      </c>
      <c r="E319" s="96">
        <v>32.033000000000001</v>
      </c>
      <c r="F319" s="96">
        <v>32.729999999999997</v>
      </c>
      <c r="G319" s="92">
        <v>33.058999999999997</v>
      </c>
      <c r="H319" s="92">
        <v>33.353999999999999</v>
      </c>
      <c r="I319" s="92">
        <v>33.375999999999998</v>
      </c>
      <c r="J319" s="92">
        <v>33.131</v>
      </c>
      <c r="K319" s="92">
        <v>33.159999999999997</v>
      </c>
    </row>
    <row r="320" spans="1:11" x14ac:dyDescent="0.2">
      <c r="A320" s="1" t="s">
        <v>274</v>
      </c>
      <c r="B320" s="1" t="str">
        <f>$B$11</f>
        <v>UIM</v>
      </c>
      <c r="C320" s="96"/>
      <c r="D320" s="96">
        <v>0</v>
      </c>
      <c r="E320" s="96">
        <v>0</v>
      </c>
      <c r="F320" s="96">
        <v>0</v>
      </c>
      <c r="G320" s="92">
        <v>0</v>
      </c>
      <c r="H320" s="92">
        <v>0</v>
      </c>
      <c r="I320" s="92">
        <v>0</v>
      </c>
      <c r="J320" s="92">
        <v>0</v>
      </c>
      <c r="K320" s="92">
        <v>0</v>
      </c>
    </row>
    <row r="321" spans="1:11" ht="15" x14ac:dyDescent="0.25">
      <c r="A321" s="26" t="s">
        <v>393</v>
      </c>
      <c r="C321" s="96"/>
      <c r="D321" s="101" t="str">
        <f t="shared" ref="D321:K321" si="66">IF(ROUND(D$121-SUM(D$172,D$318:D$320),3)=0,"OK","ERROR")</f>
        <v>OK</v>
      </c>
      <c r="E321" s="101" t="str">
        <f t="shared" si="66"/>
        <v>OK</v>
      </c>
      <c r="F321" s="101" t="str">
        <f t="shared" si="66"/>
        <v>OK</v>
      </c>
      <c r="G321" s="102" t="str">
        <f t="shared" si="66"/>
        <v>OK</v>
      </c>
      <c r="H321" s="102" t="str">
        <f t="shared" si="66"/>
        <v>OK</v>
      </c>
      <c r="I321" s="102" t="str">
        <f t="shared" si="66"/>
        <v>OK</v>
      </c>
      <c r="J321" s="102" t="str">
        <f t="shared" si="66"/>
        <v>OK</v>
      </c>
      <c r="K321" s="102" t="str">
        <f t="shared" si="66"/>
        <v>OK</v>
      </c>
    </row>
    <row r="322" spans="1:11" ht="15" x14ac:dyDescent="0.25">
      <c r="A322" s="26" t="s">
        <v>354</v>
      </c>
      <c r="C322" s="96"/>
      <c r="D322" s="96"/>
      <c r="E322" s="96"/>
      <c r="F322" s="96"/>
      <c r="G322" s="92"/>
      <c r="H322" s="92"/>
      <c r="I322" s="92"/>
      <c r="J322" s="92"/>
      <c r="K322" s="92"/>
    </row>
    <row r="323" spans="1:11" x14ac:dyDescent="0.2">
      <c r="A323" s="1" t="s">
        <v>355</v>
      </c>
      <c r="B323" s="1" t="str">
        <f t="shared" ref="B323:B332" si="67">$B$11</f>
        <v>UIM</v>
      </c>
      <c r="C323" s="96"/>
      <c r="D323" s="96">
        <v>7.2290000000000001</v>
      </c>
      <c r="E323" s="96">
        <v>7.6079999999999997</v>
      </c>
      <c r="F323" s="96">
        <v>7.7809999999999997</v>
      </c>
      <c r="G323" s="92">
        <v>10.223000000000001</v>
      </c>
      <c r="H323" s="92">
        <v>11.333</v>
      </c>
      <c r="I323" s="92">
        <v>9.2949999999999999</v>
      </c>
      <c r="J323" s="92">
        <v>8.9149999999999991</v>
      </c>
      <c r="K323" s="92">
        <v>7.3639999999999999</v>
      </c>
    </row>
    <row r="324" spans="1:11" x14ac:dyDescent="0.2">
      <c r="A324" s="1" t="s">
        <v>356</v>
      </c>
      <c r="B324" s="1" t="str">
        <f t="shared" si="67"/>
        <v>UIM</v>
      </c>
      <c r="C324" s="96"/>
      <c r="D324" s="96">
        <v>-1.2110000000000001</v>
      </c>
      <c r="E324" s="96">
        <v>-1.7470000000000001</v>
      </c>
      <c r="F324" s="96">
        <v>-1.5329999999999999</v>
      </c>
      <c r="G324" s="92">
        <v>-1.5429999999999999</v>
      </c>
      <c r="H324" s="92">
        <v>-0.58099999999999996</v>
      </c>
      <c r="I324" s="92">
        <v>-0.90700000000000003</v>
      </c>
      <c r="J324" s="92">
        <v>-1.014</v>
      </c>
      <c r="K324" s="92">
        <v>-0.92</v>
      </c>
    </row>
    <row r="325" spans="1:11" x14ac:dyDescent="0.2">
      <c r="A325" s="1" t="s">
        <v>357</v>
      </c>
      <c r="B325" s="1" t="str">
        <f t="shared" si="67"/>
        <v>UIM</v>
      </c>
      <c r="C325" s="96"/>
      <c r="D325" s="96">
        <v>3.0640000000000001</v>
      </c>
      <c r="E325" s="96">
        <v>6.3710000000000004</v>
      </c>
      <c r="F325" s="96">
        <v>5.26</v>
      </c>
      <c r="G325" s="92">
        <v>-5.1999999999999998E-2</v>
      </c>
      <c r="H325" s="92">
        <v>0</v>
      </c>
      <c r="I325" s="92">
        <v>0</v>
      </c>
      <c r="J325" s="92">
        <v>0</v>
      </c>
      <c r="K325" s="92">
        <v>0</v>
      </c>
    </row>
    <row r="326" spans="1:11" x14ac:dyDescent="0.2">
      <c r="A326" s="1" t="s">
        <v>358</v>
      </c>
      <c r="B326" s="1" t="str">
        <f t="shared" si="67"/>
        <v>UIM</v>
      </c>
      <c r="C326" s="96"/>
      <c r="D326" s="96">
        <v>0.15</v>
      </c>
      <c r="E326" s="96">
        <v>-1.107</v>
      </c>
      <c r="F326" s="96">
        <v>-0.68300000000000005</v>
      </c>
      <c r="G326" s="92">
        <v>0.35499999999999998</v>
      </c>
      <c r="H326" s="92">
        <v>5.0000000000000001E-3</v>
      </c>
      <c r="I326" s="92">
        <v>-0.13900000000000001</v>
      </c>
      <c r="J326" s="92">
        <v>-9.5000000000000001E-2</v>
      </c>
      <c r="K326" s="92">
        <v>-7.1999999999999995E-2</v>
      </c>
    </row>
    <row r="327" spans="1:11" ht="15" x14ac:dyDescent="0.25">
      <c r="A327" s="26" t="s">
        <v>359</v>
      </c>
      <c r="B327" s="1" t="str">
        <f>$B$9</f>
        <v>NAC</v>
      </c>
      <c r="C327" s="99">
        <f>130.342-0.893</f>
        <v>129.44900000000001</v>
      </c>
      <c r="D327" s="97">
        <f t="shared" ref="D327:K327" si="68">SUM(C$327,D$323:D$326)</f>
        <v>138.68100000000001</v>
      </c>
      <c r="E327" s="97">
        <f t="shared" si="68"/>
        <v>149.80600000000001</v>
      </c>
      <c r="F327" s="97">
        <f t="shared" si="68"/>
        <v>160.63100000000003</v>
      </c>
      <c r="G327" s="98">
        <f t="shared" si="68"/>
        <v>169.61400000000003</v>
      </c>
      <c r="H327" s="98">
        <f t="shared" si="68"/>
        <v>180.37100000000004</v>
      </c>
      <c r="I327" s="98">
        <f t="shared" si="68"/>
        <v>188.62</v>
      </c>
      <c r="J327" s="98">
        <f t="shared" si="68"/>
        <v>196.42599999999999</v>
      </c>
      <c r="K327" s="98">
        <f t="shared" si="68"/>
        <v>202.798</v>
      </c>
    </row>
    <row r="328" spans="1:11" x14ac:dyDescent="0.2">
      <c r="A328" s="1" t="s">
        <v>360</v>
      </c>
      <c r="B328" s="1" t="str">
        <f t="shared" si="67"/>
        <v>UIM</v>
      </c>
      <c r="C328" s="96"/>
      <c r="D328" s="96">
        <v>-0.65500000000000003</v>
      </c>
      <c r="E328" s="96">
        <v>-0.39900000000000002</v>
      </c>
      <c r="F328" s="96">
        <v>-0.85899999999999999</v>
      </c>
      <c r="G328" s="92">
        <v>-1.0229999999999999</v>
      </c>
      <c r="H328" s="92">
        <v>-0.125</v>
      </c>
      <c r="I328" s="92">
        <v>-0.152</v>
      </c>
      <c r="J328" s="92">
        <v>-0.126</v>
      </c>
      <c r="K328" s="92">
        <v>-0.107</v>
      </c>
    </row>
    <row r="329" spans="1:11" x14ac:dyDescent="0.2">
      <c r="A329" s="1" t="s">
        <v>361</v>
      </c>
      <c r="B329" s="1" t="str">
        <f t="shared" si="67"/>
        <v>UIM</v>
      </c>
      <c r="C329" s="96"/>
      <c r="D329" s="96">
        <v>-2.1589999999999998</v>
      </c>
      <c r="E329" s="96">
        <v>-2.4750000000000001</v>
      </c>
      <c r="F329" s="96">
        <v>-2.504</v>
      </c>
      <c r="G329" s="92">
        <v>0</v>
      </c>
      <c r="H329" s="92">
        <v>0</v>
      </c>
      <c r="I329" s="92">
        <v>0</v>
      </c>
      <c r="J329" s="92">
        <v>0</v>
      </c>
      <c r="K329" s="92">
        <v>0</v>
      </c>
    </row>
    <row r="330" spans="1:11" x14ac:dyDescent="0.2">
      <c r="A330" s="1" t="s">
        <v>362</v>
      </c>
      <c r="B330" s="1" t="str">
        <f t="shared" si="67"/>
        <v>UIM</v>
      </c>
      <c r="C330" s="96"/>
      <c r="D330" s="96">
        <v>7.8E-2</v>
      </c>
      <c r="E330" s="96">
        <v>0.28799999999999998</v>
      </c>
      <c r="F330" s="96">
        <v>0.32500000000000001</v>
      </c>
      <c r="G330" s="92">
        <v>0</v>
      </c>
      <c r="H330" s="92">
        <v>0</v>
      </c>
      <c r="I330" s="92">
        <v>0</v>
      </c>
      <c r="J330" s="92">
        <v>0</v>
      </c>
      <c r="K330" s="92">
        <v>0</v>
      </c>
    </row>
    <row r="331" spans="1:11" x14ac:dyDescent="0.2">
      <c r="A331" s="1" t="s">
        <v>363</v>
      </c>
      <c r="B331" s="1" t="str">
        <f t="shared" si="67"/>
        <v>UIM</v>
      </c>
      <c r="C331" s="96"/>
      <c r="D331" s="96">
        <v>3.8730000000000002</v>
      </c>
      <c r="E331" s="96">
        <v>3.9119999999999999</v>
      </c>
      <c r="F331" s="96">
        <v>4.0730000000000004</v>
      </c>
      <c r="G331" s="92">
        <v>4.7770000000000001</v>
      </c>
      <c r="H331" s="92">
        <v>4.84</v>
      </c>
      <c r="I331" s="92">
        <v>4.8499999999999996</v>
      </c>
      <c r="J331" s="92">
        <v>4.9210000000000003</v>
      </c>
      <c r="K331" s="92">
        <v>4.9829999999999997</v>
      </c>
    </row>
    <row r="332" spans="1:11" x14ac:dyDescent="0.2">
      <c r="A332" s="1" t="s">
        <v>358</v>
      </c>
      <c r="B332" s="1" t="str">
        <f t="shared" si="67"/>
        <v>UIM</v>
      </c>
      <c r="C332" s="96"/>
      <c r="D332" s="96">
        <v>-0.157</v>
      </c>
      <c r="E332" s="96">
        <v>-0.14199999999999999</v>
      </c>
      <c r="F332" s="96">
        <v>-0.26100000000000001</v>
      </c>
      <c r="G332" s="92">
        <v>-4.3999999999999997E-2</v>
      </c>
      <c r="H332" s="92">
        <v>-2E-3</v>
      </c>
      <c r="I332" s="92">
        <v>-7.0000000000000001E-3</v>
      </c>
      <c r="J332" s="92">
        <v>-7.0000000000000001E-3</v>
      </c>
      <c r="K332" s="92">
        <v>-7.0000000000000001E-3</v>
      </c>
    </row>
    <row r="333" spans="1:11" ht="15" x14ac:dyDescent="0.25">
      <c r="A333" s="26" t="s">
        <v>364</v>
      </c>
      <c r="B333" s="1" t="str">
        <f>$B$9</f>
        <v>NAC</v>
      </c>
      <c r="C333" s="99">
        <f>14.036-0.893</f>
        <v>13.142999999999999</v>
      </c>
      <c r="D333" s="97">
        <f t="shared" ref="D333:K333" si="69">SUM(C$333,D$328:D$332)</f>
        <v>14.123000000000001</v>
      </c>
      <c r="E333" s="97">
        <f t="shared" si="69"/>
        <v>15.307000000000002</v>
      </c>
      <c r="F333" s="97">
        <f t="shared" si="69"/>
        <v>16.081000000000003</v>
      </c>
      <c r="G333" s="98">
        <f t="shared" si="69"/>
        <v>19.791000000000004</v>
      </c>
      <c r="H333" s="98">
        <f t="shared" si="69"/>
        <v>24.504000000000005</v>
      </c>
      <c r="I333" s="98">
        <f t="shared" si="69"/>
        <v>29.195000000000004</v>
      </c>
      <c r="J333" s="98">
        <f t="shared" si="69"/>
        <v>33.983000000000004</v>
      </c>
      <c r="K333" s="98">
        <f t="shared" si="69"/>
        <v>38.852000000000004</v>
      </c>
    </row>
    <row r="334" spans="1:11" ht="15" x14ac:dyDescent="0.25">
      <c r="A334" s="26" t="s">
        <v>395</v>
      </c>
      <c r="C334" s="96"/>
      <c r="D334" s="101" t="str">
        <f t="shared" ref="D334:K334" si="70">IF(ROUND(D$121-(D$327-D$333),3)=0,"OK","ERROR")</f>
        <v>OK</v>
      </c>
      <c r="E334" s="101" t="str">
        <f t="shared" si="70"/>
        <v>OK</v>
      </c>
      <c r="F334" s="101" t="str">
        <f t="shared" si="70"/>
        <v>OK</v>
      </c>
      <c r="G334" s="102" t="str">
        <f t="shared" si="70"/>
        <v>OK</v>
      </c>
      <c r="H334" s="102" t="str">
        <f t="shared" si="70"/>
        <v>OK</v>
      </c>
      <c r="I334" s="102" t="str">
        <f t="shared" si="70"/>
        <v>OK</v>
      </c>
      <c r="J334" s="102" t="str">
        <f t="shared" si="70"/>
        <v>OK</v>
      </c>
      <c r="K334" s="102" t="str">
        <f t="shared" si="70"/>
        <v>OK</v>
      </c>
    </row>
    <row r="335" spans="1:11" ht="15" x14ac:dyDescent="0.25">
      <c r="A335" s="26" t="s">
        <v>221</v>
      </c>
      <c r="C335" s="96"/>
      <c r="D335" s="96"/>
      <c r="E335" s="96"/>
      <c r="F335" s="96"/>
      <c r="G335" s="92"/>
      <c r="H335" s="92"/>
      <c r="I335" s="92"/>
      <c r="J335" s="92"/>
      <c r="K335" s="92"/>
    </row>
    <row r="336" spans="1:11" x14ac:dyDescent="0.2">
      <c r="A336" s="1" t="s">
        <v>272</v>
      </c>
      <c r="B336" s="1" t="str">
        <f>$B$11</f>
        <v>UIM</v>
      </c>
      <c r="C336" s="96"/>
      <c r="D336" s="96">
        <v>0.60699999999999998</v>
      </c>
      <c r="E336" s="96">
        <v>0.54400000000000004</v>
      </c>
      <c r="F336" s="96">
        <v>0.57199999999999995</v>
      </c>
      <c r="G336" s="92">
        <v>0.56499999999999995</v>
      </c>
      <c r="H336" s="92">
        <v>0.60199999999999998</v>
      </c>
      <c r="I336" s="92">
        <v>0.61599999999999999</v>
      </c>
      <c r="J336" s="92">
        <v>0.59599999999999997</v>
      </c>
      <c r="K336" s="92">
        <v>0.58099999999999996</v>
      </c>
    </row>
    <row r="337" spans="1:11" x14ac:dyDescent="0.2">
      <c r="A337" s="1" t="s">
        <v>345</v>
      </c>
      <c r="B337" s="1" t="str">
        <f>$B$11</f>
        <v>UIM</v>
      </c>
      <c r="C337" s="96"/>
      <c r="D337" s="96">
        <v>1.21</v>
      </c>
      <c r="E337" s="96">
        <v>1.3009999999999999</v>
      </c>
      <c r="F337" s="96">
        <v>1.5229999999999999</v>
      </c>
      <c r="G337" s="92">
        <v>1.5720000000000001</v>
      </c>
      <c r="H337" s="92">
        <v>1.583</v>
      </c>
      <c r="I337" s="92">
        <v>1.5920000000000001</v>
      </c>
      <c r="J337" s="92">
        <v>1.623</v>
      </c>
      <c r="K337" s="92">
        <v>1.6379999999999999</v>
      </c>
    </row>
    <row r="338" spans="1:11" x14ac:dyDescent="0.2">
      <c r="A338" s="1" t="s">
        <v>274</v>
      </c>
      <c r="B338" s="1" t="str">
        <f>$B$11</f>
        <v>UIM</v>
      </c>
      <c r="C338" s="96"/>
      <c r="D338" s="96">
        <v>0</v>
      </c>
      <c r="E338" s="96">
        <v>0</v>
      </c>
      <c r="F338" s="96">
        <v>-0.02</v>
      </c>
      <c r="G338" s="92">
        <v>-2.1000000000000001E-2</v>
      </c>
      <c r="H338" s="92">
        <v>-0.02</v>
      </c>
      <c r="I338" s="92">
        <v>-0.02</v>
      </c>
      <c r="J338" s="92">
        <v>-0.02</v>
      </c>
      <c r="K338" s="92">
        <v>-0.02</v>
      </c>
    </row>
    <row r="339" spans="1:11" ht="15" x14ac:dyDescent="0.25">
      <c r="A339" s="26" t="s">
        <v>396</v>
      </c>
      <c r="C339" s="96"/>
      <c r="D339" s="101" t="str">
        <f t="shared" ref="D339:K339" si="71">IF(ROUND(D$123-SUM(D$174,D$336:D$338),3)=0,"OK","ERROR")</f>
        <v>OK</v>
      </c>
      <c r="E339" s="101" t="str">
        <f t="shared" si="71"/>
        <v>OK</v>
      </c>
      <c r="F339" s="101" t="str">
        <f t="shared" si="71"/>
        <v>OK</v>
      </c>
      <c r="G339" s="102" t="str">
        <f t="shared" si="71"/>
        <v>OK</v>
      </c>
      <c r="H339" s="102" t="str">
        <f t="shared" si="71"/>
        <v>OK</v>
      </c>
      <c r="I339" s="102" t="str">
        <f t="shared" si="71"/>
        <v>OK</v>
      </c>
      <c r="J339" s="102" t="str">
        <f t="shared" si="71"/>
        <v>OK</v>
      </c>
      <c r="K339" s="102" t="str">
        <f t="shared" si="71"/>
        <v>OK</v>
      </c>
    </row>
    <row r="340" spans="1:11" ht="15" x14ac:dyDescent="0.25">
      <c r="A340" s="26" t="s">
        <v>401</v>
      </c>
      <c r="C340" s="96"/>
      <c r="D340" s="96"/>
      <c r="E340" s="96"/>
      <c r="F340" s="96"/>
      <c r="G340" s="92"/>
      <c r="H340" s="92"/>
      <c r="I340" s="92"/>
      <c r="J340" s="92"/>
      <c r="K340" s="92"/>
    </row>
    <row r="341" spans="1:11" x14ac:dyDescent="0.2">
      <c r="A341" s="1" t="s">
        <v>365</v>
      </c>
      <c r="B341" s="1" t="str">
        <f t="shared" ref="B341:B350" si="72">$B$11</f>
        <v>UIM</v>
      </c>
      <c r="C341" s="96"/>
      <c r="D341" s="96">
        <v>0.76</v>
      </c>
      <c r="E341" s="96">
        <v>0.752</v>
      </c>
      <c r="F341" s="96">
        <v>0.83299999999999996</v>
      </c>
      <c r="G341" s="92">
        <v>0.80400000000000005</v>
      </c>
      <c r="H341" s="92">
        <v>0.93700000000000006</v>
      </c>
      <c r="I341" s="92">
        <v>1.0189999999999999</v>
      </c>
      <c r="J341" s="92">
        <v>1.117</v>
      </c>
      <c r="K341" s="92">
        <v>1.236</v>
      </c>
    </row>
    <row r="342" spans="1:11" x14ac:dyDescent="0.2">
      <c r="A342" s="1" t="s">
        <v>366</v>
      </c>
      <c r="B342" s="1" t="str">
        <f t="shared" si="72"/>
        <v>UIM</v>
      </c>
      <c r="C342" s="96"/>
      <c r="D342" s="96">
        <v>4.5999999999999999E-2</v>
      </c>
      <c r="E342" s="96">
        <v>0.51200000000000001</v>
      </c>
      <c r="F342" s="96">
        <v>1.139</v>
      </c>
      <c r="G342" s="92">
        <v>0.64200000000000002</v>
      </c>
      <c r="H342" s="92">
        <v>0.80700000000000005</v>
      </c>
      <c r="I342" s="92">
        <v>0.88700000000000001</v>
      </c>
      <c r="J342" s="92">
        <v>0.98299999999999998</v>
      </c>
      <c r="K342" s="92">
        <v>1.101</v>
      </c>
    </row>
    <row r="343" spans="1:11" x14ac:dyDescent="0.2">
      <c r="A343" s="1" t="s">
        <v>367</v>
      </c>
      <c r="B343" s="1" t="str">
        <f t="shared" si="72"/>
        <v>UIM</v>
      </c>
      <c r="C343" s="96"/>
      <c r="D343" s="96">
        <v>0.19800000000000001</v>
      </c>
      <c r="E343" s="96">
        <v>0.13800000000000001</v>
      </c>
      <c r="F343" s="96">
        <v>0.22700000000000001</v>
      </c>
      <c r="G343" s="92">
        <v>0.24199999999999999</v>
      </c>
      <c r="H343" s="92">
        <v>0.20499999999999999</v>
      </c>
      <c r="I343" s="92">
        <v>0.218</v>
      </c>
      <c r="J343" s="92">
        <v>0.23200000000000001</v>
      </c>
      <c r="K343" s="92">
        <v>0.247</v>
      </c>
    </row>
    <row r="344" spans="1:11" x14ac:dyDescent="0.2">
      <c r="A344" s="1" t="s">
        <v>368</v>
      </c>
      <c r="B344" s="1" t="str">
        <f t="shared" si="72"/>
        <v>UIM</v>
      </c>
      <c r="C344" s="96"/>
      <c r="D344" s="96">
        <v>3.1560000000000001</v>
      </c>
      <c r="E344" s="96">
        <v>-7.5999999999999998E-2</v>
      </c>
      <c r="F344" s="96">
        <v>5.5119999999999996</v>
      </c>
      <c r="G344" s="92">
        <v>3.8959999999999999</v>
      </c>
      <c r="H344" s="92">
        <v>2.641</v>
      </c>
      <c r="I344" s="92">
        <v>2.8969999999999998</v>
      </c>
      <c r="J344" s="92">
        <v>3.2090000000000001</v>
      </c>
      <c r="K344" s="92">
        <v>3.593</v>
      </c>
    </row>
    <row r="345" spans="1:11" x14ac:dyDescent="0.2">
      <c r="A345" s="1" t="s">
        <v>369</v>
      </c>
      <c r="B345" s="1" t="str">
        <f t="shared" si="72"/>
        <v>UIM</v>
      </c>
      <c r="C345" s="96"/>
      <c r="D345" s="96">
        <v>0</v>
      </c>
      <c r="E345" s="96">
        <v>0</v>
      </c>
      <c r="F345" s="96">
        <v>0</v>
      </c>
      <c r="G345" s="92">
        <v>0.5</v>
      </c>
      <c r="H345" s="92">
        <v>1</v>
      </c>
      <c r="I345" s="92">
        <v>1.5</v>
      </c>
      <c r="J345" s="92">
        <v>2.2000000000000002</v>
      </c>
      <c r="K345" s="92">
        <v>2.5</v>
      </c>
    </row>
    <row r="346" spans="1:11" x14ac:dyDescent="0.2">
      <c r="A346" s="1" t="s">
        <v>86</v>
      </c>
      <c r="B346" s="1" t="str">
        <f t="shared" si="72"/>
        <v>UIM</v>
      </c>
      <c r="C346" s="96"/>
      <c r="D346" s="96">
        <v>4.1000000000000002E-2</v>
      </c>
      <c r="E346" s="96">
        <v>-2.1000000000000001E-2</v>
      </c>
      <c r="F346" s="96">
        <v>0</v>
      </c>
      <c r="G346" s="92">
        <v>4.2999999999999997E-2</v>
      </c>
      <c r="H346" s="92">
        <v>2.7E-2</v>
      </c>
      <c r="I346" s="92">
        <v>3.1E-2</v>
      </c>
      <c r="J346" s="92">
        <v>3.5000000000000003E-2</v>
      </c>
      <c r="K346" s="92">
        <v>0.04</v>
      </c>
    </row>
    <row r="347" spans="1:11" ht="15" x14ac:dyDescent="0.25">
      <c r="A347" s="26" t="s">
        <v>370</v>
      </c>
      <c r="B347" s="1" t="str">
        <f>$B$9</f>
        <v>NAC</v>
      </c>
      <c r="C347" s="99">
        <v>25.809000000000001</v>
      </c>
      <c r="D347" s="97">
        <f t="shared" ref="D347:K347" si="73">SUM(C$347,D$341,-D$342,-D$343,D$344,D$345,D$346)</f>
        <v>29.522000000000002</v>
      </c>
      <c r="E347" s="97">
        <f t="shared" si="73"/>
        <v>29.526999999999997</v>
      </c>
      <c r="F347" s="97">
        <f t="shared" si="73"/>
        <v>34.505999999999993</v>
      </c>
      <c r="G347" s="98">
        <f t="shared" si="73"/>
        <v>38.864999999999995</v>
      </c>
      <c r="H347" s="98">
        <f t="shared" si="73"/>
        <v>42.457999999999991</v>
      </c>
      <c r="I347" s="98">
        <f t="shared" si="73"/>
        <v>46.799999999999983</v>
      </c>
      <c r="J347" s="98">
        <f t="shared" si="73"/>
        <v>52.145999999999987</v>
      </c>
      <c r="K347" s="98">
        <f t="shared" si="73"/>
        <v>58.16699999999998</v>
      </c>
    </row>
    <row r="348" spans="1:11" x14ac:dyDescent="0.2">
      <c r="A348" s="1" t="s">
        <v>371</v>
      </c>
      <c r="B348" s="1" t="str">
        <f t="shared" si="72"/>
        <v>UIM</v>
      </c>
      <c r="C348" s="96"/>
      <c r="D348" s="96">
        <v>31.274000000000001</v>
      </c>
      <c r="E348" s="96">
        <v>30.561</v>
      </c>
      <c r="F348" s="96">
        <v>37.344999999999999</v>
      </c>
      <c r="G348" s="92">
        <v>40.540999999999997</v>
      </c>
      <c r="H348" s="92">
        <v>43.953000000000003</v>
      </c>
      <c r="I348" s="92">
        <v>48.384999999999998</v>
      </c>
      <c r="J348" s="92">
        <v>53.863</v>
      </c>
      <c r="K348" s="92">
        <v>59.954000000000001</v>
      </c>
    </row>
    <row r="349" spans="1:11" x14ac:dyDescent="0.2">
      <c r="A349" s="1" t="s">
        <v>372</v>
      </c>
      <c r="B349" s="1" t="str">
        <f t="shared" si="72"/>
        <v>UIM</v>
      </c>
      <c r="C349" s="96"/>
      <c r="D349" s="96">
        <v>-3.145</v>
      </c>
      <c r="E349" s="96">
        <v>-2.58</v>
      </c>
      <c r="F349" s="96">
        <v>-4.6559999999999997</v>
      </c>
      <c r="G349" s="92">
        <v>-3.53</v>
      </c>
      <c r="H349" s="92">
        <v>-3.4649999999999999</v>
      </c>
      <c r="I349" s="92">
        <v>-3.6179999999999999</v>
      </c>
      <c r="J349" s="92">
        <v>-3.8159999999999998</v>
      </c>
      <c r="K349" s="92">
        <v>-3.9550000000000001</v>
      </c>
    </row>
    <row r="350" spans="1:11" x14ac:dyDescent="0.2">
      <c r="A350" s="1" t="s">
        <v>373</v>
      </c>
      <c r="B350" s="1" t="str">
        <f t="shared" si="72"/>
        <v>UIM</v>
      </c>
      <c r="C350" s="96"/>
      <c r="D350" s="96">
        <v>1.393</v>
      </c>
      <c r="E350" s="96">
        <v>1.546</v>
      </c>
      <c r="F350" s="96">
        <v>1.8169999999999999</v>
      </c>
      <c r="G350" s="92">
        <v>1.8540000000000001</v>
      </c>
      <c r="H350" s="92">
        <v>1.97</v>
      </c>
      <c r="I350" s="92">
        <v>2.0329999999999999</v>
      </c>
      <c r="J350" s="92">
        <v>2.0990000000000002</v>
      </c>
      <c r="K350" s="92">
        <v>2.1680000000000001</v>
      </c>
    </row>
    <row r="351" spans="1:11" ht="15" x14ac:dyDescent="0.25">
      <c r="A351" s="26" t="s">
        <v>397</v>
      </c>
      <c r="C351" s="96"/>
      <c r="D351" s="101" t="str">
        <f t="shared" ref="D351:K351" si="74">IF(ROUND(D$347-SUM(D$348:D$350),3)=0,"OK","ERROR")</f>
        <v>OK</v>
      </c>
      <c r="E351" s="101" t="str">
        <f t="shared" si="74"/>
        <v>OK</v>
      </c>
      <c r="F351" s="101" t="str">
        <f t="shared" si="74"/>
        <v>OK</v>
      </c>
      <c r="G351" s="102" t="str">
        <f t="shared" si="74"/>
        <v>OK</v>
      </c>
      <c r="H351" s="102" t="str">
        <f t="shared" si="74"/>
        <v>OK</v>
      </c>
      <c r="I351" s="102" t="str">
        <f t="shared" si="74"/>
        <v>OK</v>
      </c>
      <c r="J351" s="102" t="str">
        <f t="shared" si="74"/>
        <v>OK</v>
      </c>
      <c r="K351" s="102" t="str">
        <f t="shared" si="74"/>
        <v>OK</v>
      </c>
    </row>
    <row r="352" spans="1:11" ht="15" x14ac:dyDescent="0.25">
      <c r="A352" s="26" t="s">
        <v>226</v>
      </c>
      <c r="C352" s="96"/>
      <c r="D352" s="96"/>
      <c r="E352" s="96"/>
      <c r="F352" s="96"/>
      <c r="G352" s="92"/>
      <c r="H352" s="92"/>
      <c r="I352" s="92"/>
      <c r="J352" s="92"/>
      <c r="K352" s="92"/>
    </row>
    <row r="353" spans="1:11" x14ac:dyDescent="0.2">
      <c r="A353" s="1" t="s">
        <v>374</v>
      </c>
      <c r="B353" s="1" t="str">
        <f>$B$9</f>
        <v>NAC</v>
      </c>
      <c r="C353" s="96"/>
      <c r="D353" s="96">
        <v>7.5990000000000002</v>
      </c>
      <c r="E353" s="96">
        <v>7.508</v>
      </c>
      <c r="F353" s="96">
        <v>10.516999999999999</v>
      </c>
      <c r="G353" s="92">
        <v>8.6790000000000003</v>
      </c>
      <c r="H353" s="92">
        <v>9.1470000000000002</v>
      </c>
      <c r="I353" s="92">
        <v>8.9179999999999993</v>
      </c>
      <c r="J353" s="92">
        <v>9.0410000000000004</v>
      </c>
      <c r="K353" s="92">
        <v>9.2579999999999991</v>
      </c>
    </row>
    <row r="354" spans="1:11" x14ac:dyDescent="0.2">
      <c r="A354" s="1" t="s">
        <v>375</v>
      </c>
      <c r="B354" s="1" t="str">
        <f>$B$11</f>
        <v>UIM</v>
      </c>
      <c r="C354" s="96"/>
      <c r="D354" s="96">
        <v>4.3540000000000001</v>
      </c>
      <c r="E354" s="96">
        <v>4.5209999999999999</v>
      </c>
      <c r="F354" s="96">
        <v>4.2770000000000001</v>
      </c>
      <c r="G354" s="92">
        <v>4.3280000000000003</v>
      </c>
      <c r="H354" s="92">
        <v>4.3369999999999997</v>
      </c>
      <c r="I354" s="92">
        <v>4.3570000000000002</v>
      </c>
      <c r="J354" s="92">
        <v>4.3760000000000003</v>
      </c>
      <c r="K354" s="92">
        <v>4.3929999999999998</v>
      </c>
    </row>
    <row r="355" spans="1:11" ht="15" x14ac:dyDescent="0.25">
      <c r="A355" s="26" t="s">
        <v>398</v>
      </c>
      <c r="C355" s="96"/>
      <c r="D355" s="101" t="str">
        <f t="shared" ref="D355:K355" si="75">IF(ROUND(D$128-SUM(D$353:D$354),3)=0,"OK","ERROR")</f>
        <v>OK</v>
      </c>
      <c r="E355" s="101" t="str">
        <f t="shared" si="75"/>
        <v>OK</v>
      </c>
      <c r="F355" s="101" t="str">
        <f t="shared" si="75"/>
        <v>OK</v>
      </c>
      <c r="G355" s="102" t="str">
        <f t="shared" si="75"/>
        <v>OK</v>
      </c>
      <c r="H355" s="102" t="str">
        <f t="shared" si="75"/>
        <v>OK</v>
      </c>
      <c r="I355" s="102" t="str">
        <f t="shared" si="75"/>
        <v>OK</v>
      </c>
      <c r="J355" s="102" t="str">
        <f t="shared" si="75"/>
        <v>OK</v>
      </c>
      <c r="K355" s="102" t="str">
        <f t="shared" si="75"/>
        <v>OK</v>
      </c>
    </row>
    <row r="356" spans="1:11" ht="15" x14ac:dyDescent="0.25">
      <c r="A356" s="26" t="s">
        <v>1257</v>
      </c>
      <c r="C356" s="96"/>
      <c r="D356" s="104"/>
      <c r="E356" s="104"/>
      <c r="F356" s="104"/>
      <c r="G356" s="105"/>
      <c r="H356" s="105"/>
      <c r="I356" s="105"/>
      <c r="J356" s="105"/>
      <c r="K356" s="105"/>
    </row>
    <row r="357" spans="1:11" x14ac:dyDescent="0.2">
      <c r="A357" s="1" t="s">
        <v>1258</v>
      </c>
      <c r="B357" s="1" t="str">
        <f>$B$11</f>
        <v>UIM</v>
      </c>
      <c r="C357" s="96"/>
      <c r="D357" s="96">
        <v>0.13500000000000001</v>
      </c>
      <c r="E357" s="96">
        <v>0.27100000000000002</v>
      </c>
      <c r="F357" s="96">
        <v>0.44400000000000001</v>
      </c>
      <c r="G357" s="92">
        <v>0.64200000000000002</v>
      </c>
      <c r="H357" s="92">
        <v>0.78400000000000003</v>
      </c>
      <c r="I357" s="92">
        <v>0.875</v>
      </c>
      <c r="J357" s="92">
        <v>0.93</v>
      </c>
      <c r="K357" s="92">
        <v>0.96399999999999997</v>
      </c>
    </row>
    <row r="358" spans="1:11" x14ac:dyDescent="0.2">
      <c r="A358" s="1" t="s">
        <v>1259</v>
      </c>
      <c r="B358" s="1" t="str">
        <f>$B$11</f>
        <v>UIM</v>
      </c>
      <c r="C358" s="96"/>
      <c r="D358" s="96">
        <v>0.13300000000000001</v>
      </c>
      <c r="E358" s="96">
        <v>0.16300000000000001</v>
      </c>
      <c r="F358" s="96">
        <v>0.29499999999999998</v>
      </c>
      <c r="G358" s="92">
        <v>0.78700000000000003</v>
      </c>
      <c r="H358" s="92">
        <v>0.51800000000000002</v>
      </c>
      <c r="I358" s="92">
        <v>0.54200000000000004</v>
      </c>
      <c r="J358" s="92">
        <v>0.54200000000000004</v>
      </c>
      <c r="K358" s="92">
        <v>0.54200000000000004</v>
      </c>
    </row>
    <row r="359" spans="1:11" ht="15" x14ac:dyDescent="0.25">
      <c r="A359" s="26" t="s">
        <v>229</v>
      </c>
      <c r="C359" s="96"/>
      <c r="D359" s="96"/>
      <c r="E359" s="96"/>
      <c r="F359" s="96"/>
      <c r="G359" s="92"/>
      <c r="H359" s="92"/>
      <c r="I359" s="92"/>
      <c r="J359" s="92"/>
      <c r="K359" s="92"/>
    </row>
    <row r="360" spans="1:11" x14ac:dyDescent="0.2">
      <c r="A360" s="1" t="s">
        <v>302</v>
      </c>
      <c r="B360" s="1" t="str">
        <f>$B$11</f>
        <v>UIM</v>
      </c>
      <c r="C360" s="96"/>
      <c r="D360" s="96">
        <v>32.518000000000001</v>
      </c>
      <c r="E360" s="96">
        <v>39.106000000000002</v>
      </c>
      <c r="F360" s="96">
        <v>40.287999999999997</v>
      </c>
      <c r="G360" s="92">
        <v>42.725000000000001</v>
      </c>
      <c r="H360" s="92">
        <v>44.284999999999997</v>
      </c>
      <c r="I360" s="92">
        <v>45.959000000000003</v>
      </c>
      <c r="J360" s="92">
        <v>47.902000000000001</v>
      </c>
      <c r="K360" s="92">
        <v>49.941000000000003</v>
      </c>
    </row>
    <row r="361" spans="1:11" x14ac:dyDescent="0.2">
      <c r="A361" s="1" t="s">
        <v>303</v>
      </c>
      <c r="B361" s="1" t="str">
        <f>$B$11</f>
        <v>UIM</v>
      </c>
      <c r="C361" s="96"/>
      <c r="D361" s="96">
        <v>2.9649999999999999</v>
      </c>
      <c r="E361" s="96">
        <v>2.4849999999999999</v>
      </c>
      <c r="F361" s="96">
        <v>1.853</v>
      </c>
      <c r="G361" s="92">
        <v>0.92500000000000004</v>
      </c>
      <c r="H361" s="92">
        <v>0.41099999999999998</v>
      </c>
      <c r="I361" s="92">
        <v>0.27400000000000002</v>
      </c>
      <c r="J361" s="92">
        <v>0.25700000000000001</v>
      </c>
      <c r="K361" s="92">
        <v>0.25700000000000001</v>
      </c>
    </row>
    <row r="362" spans="1:11" x14ac:dyDescent="0.2">
      <c r="A362" s="1" t="s">
        <v>376</v>
      </c>
      <c r="B362" s="1" t="str">
        <f>$B$11</f>
        <v>UIM</v>
      </c>
      <c r="C362" s="96"/>
      <c r="D362" s="96">
        <v>0.94799999999999995</v>
      </c>
      <c r="E362" s="96">
        <v>0.53500000000000003</v>
      </c>
      <c r="F362" s="96">
        <v>0.64500000000000002</v>
      </c>
      <c r="G362" s="92">
        <v>0.45900000000000002</v>
      </c>
      <c r="H362" s="92">
        <v>3.5999999999999997E-2</v>
      </c>
      <c r="I362" s="92">
        <v>3.6999999999999998E-2</v>
      </c>
      <c r="J362" s="92">
        <v>3.6999999999999998E-2</v>
      </c>
      <c r="K362" s="92">
        <v>3.5999999999999997E-2</v>
      </c>
    </row>
    <row r="363" spans="1:11" ht="15" x14ac:dyDescent="0.25">
      <c r="A363" s="26" t="s">
        <v>399</v>
      </c>
      <c r="C363" s="96"/>
      <c r="D363" s="101" t="str">
        <f t="shared" ref="D363:K363" si="76">IF(ROUND(D$131-SUM(D$360:D$362),3)=0,"OK","ERROR")</f>
        <v>OK</v>
      </c>
      <c r="E363" s="101" t="str">
        <f t="shared" si="76"/>
        <v>OK</v>
      </c>
      <c r="F363" s="101" t="str">
        <f t="shared" si="76"/>
        <v>OK</v>
      </c>
      <c r="G363" s="102" t="str">
        <f t="shared" si="76"/>
        <v>OK</v>
      </c>
      <c r="H363" s="102" t="str">
        <f t="shared" si="76"/>
        <v>OK</v>
      </c>
      <c r="I363" s="102" t="str">
        <f t="shared" si="76"/>
        <v>OK</v>
      </c>
      <c r="J363" s="102" t="str">
        <f t="shared" si="76"/>
        <v>OK</v>
      </c>
      <c r="K363" s="102" t="str">
        <f t="shared" si="76"/>
        <v>OK</v>
      </c>
    </row>
    <row r="364" spans="1:11" x14ac:dyDescent="0.2">
      <c r="A364" s="28"/>
      <c r="C364" s="96"/>
      <c r="D364" s="96"/>
      <c r="E364" s="96"/>
      <c r="F364" s="96"/>
      <c r="G364" s="92"/>
      <c r="H364" s="92"/>
      <c r="I364" s="92"/>
      <c r="J364" s="92"/>
      <c r="K364" s="92"/>
    </row>
    <row r="365" spans="1:11" ht="15" x14ac:dyDescent="0.25">
      <c r="A365" s="26" t="s">
        <v>400</v>
      </c>
      <c r="C365" s="96"/>
      <c r="D365" s="96"/>
      <c r="E365" s="96"/>
      <c r="F365" s="96"/>
      <c r="G365" s="92"/>
      <c r="H365" s="92"/>
      <c r="I365" s="92"/>
      <c r="J365" s="92"/>
      <c r="K365" s="92"/>
    </row>
    <row r="366" spans="1:11" x14ac:dyDescent="0.2">
      <c r="A366" s="1" t="s">
        <v>378</v>
      </c>
      <c r="B366" s="1" t="str">
        <f t="shared" ref="B366:B376" si="77">$B$11</f>
        <v>UIM</v>
      </c>
      <c r="C366" s="96"/>
      <c r="D366" s="96">
        <v>66.347999999999999</v>
      </c>
      <c r="E366" s="96">
        <v>69.75</v>
      </c>
      <c r="F366" s="96">
        <v>74.728999999999999</v>
      </c>
      <c r="G366" s="92">
        <v>79.444999999999993</v>
      </c>
      <c r="H366" s="92">
        <v>83.525000000000006</v>
      </c>
      <c r="I366" s="92">
        <v>88.677000000000007</v>
      </c>
      <c r="J366" s="92">
        <v>93.591999999999999</v>
      </c>
      <c r="K366" s="92">
        <v>98.763999999999996</v>
      </c>
    </row>
    <row r="367" spans="1:11" x14ac:dyDescent="0.2">
      <c r="A367" s="1" t="s">
        <v>176</v>
      </c>
      <c r="B367" s="1" t="str">
        <f t="shared" si="77"/>
        <v>UIM</v>
      </c>
      <c r="C367" s="96"/>
      <c r="D367" s="96">
        <v>0.88900000000000001</v>
      </c>
      <c r="E367" s="96">
        <v>0.83499999999999996</v>
      </c>
      <c r="F367" s="96">
        <v>0.95499999999999996</v>
      </c>
      <c r="G367" s="92">
        <v>0.94399999999999995</v>
      </c>
      <c r="H367" s="92">
        <v>0.95199999999999996</v>
      </c>
      <c r="I367" s="92">
        <v>0.92100000000000004</v>
      </c>
      <c r="J367" s="92">
        <v>0.91900000000000004</v>
      </c>
      <c r="K367" s="92">
        <v>0.93200000000000005</v>
      </c>
    </row>
    <row r="368" spans="1:11" x14ac:dyDescent="0.2">
      <c r="A368" s="1" t="s">
        <v>1249</v>
      </c>
      <c r="B368" s="1" t="str">
        <f t="shared" si="77"/>
        <v>UIM</v>
      </c>
      <c r="C368" s="96"/>
      <c r="D368" s="96">
        <v>0.92</v>
      </c>
      <c r="E368" s="96">
        <v>0.83899999999999997</v>
      </c>
      <c r="F368" s="96">
        <v>0.68799999999999994</v>
      </c>
      <c r="G368" s="92">
        <v>0.67</v>
      </c>
      <c r="H368" s="92">
        <v>0.69199999999999995</v>
      </c>
      <c r="I368" s="92">
        <v>0.64600000000000002</v>
      </c>
      <c r="J368" s="92">
        <v>0.81499999999999995</v>
      </c>
      <c r="K368" s="92">
        <v>0.77</v>
      </c>
    </row>
    <row r="369" spans="1:11" x14ac:dyDescent="0.2">
      <c r="A369" s="1" t="s">
        <v>379</v>
      </c>
      <c r="B369" s="1" t="str">
        <f t="shared" si="77"/>
        <v>UIM</v>
      </c>
      <c r="C369" s="96"/>
      <c r="D369" s="96">
        <v>3.319</v>
      </c>
      <c r="E369" s="96">
        <v>2.8860000000000001</v>
      </c>
      <c r="F369" s="96">
        <v>3.34</v>
      </c>
      <c r="G369" s="92">
        <v>3.194</v>
      </c>
      <c r="H369" s="92">
        <v>3.3239999999999998</v>
      </c>
      <c r="I369" s="92">
        <v>3.3260000000000001</v>
      </c>
      <c r="J369" s="92">
        <v>3.1320000000000001</v>
      </c>
      <c r="K369" s="92">
        <v>3.07</v>
      </c>
    </row>
    <row r="370" spans="1:11" x14ac:dyDescent="0.2">
      <c r="A370" s="1" t="s">
        <v>566</v>
      </c>
      <c r="B370" s="1" t="str">
        <f t="shared" si="77"/>
        <v>UIM</v>
      </c>
      <c r="C370" s="96"/>
      <c r="D370" s="96">
        <v>23.895</v>
      </c>
      <c r="E370" s="96">
        <v>24.338000000000001</v>
      </c>
      <c r="F370" s="96">
        <v>25.292999999999999</v>
      </c>
      <c r="G370" s="92">
        <v>26.404</v>
      </c>
      <c r="H370" s="92">
        <v>29.308</v>
      </c>
      <c r="I370" s="92">
        <v>30.443000000000001</v>
      </c>
      <c r="J370" s="92">
        <v>31.709</v>
      </c>
      <c r="K370" s="92">
        <v>33.100999999999999</v>
      </c>
    </row>
    <row r="371" spans="1:11" x14ac:dyDescent="0.2">
      <c r="A371" s="1" t="s">
        <v>567</v>
      </c>
      <c r="B371" s="1" t="str">
        <f t="shared" si="77"/>
        <v>UIM</v>
      </c>
      <c r="C371" s="96"/>
      <c r="D371" s="96">
        <v>42.064</v>
      </c>
      <c r="E371" s="96">
        <v>43.103000000000002</v>
      </c>
      <c r="F371" s="96">
        <v>44.581000000000003</v>
      </c>
      <c r="G371" s="92">
        <v>48.984999999999999</v>
      </c>
      <c r="H371" s="92">
        <v>51.170999999999999</v>
      </c>
      <c r="I371" s="92">
        <v>50.46</v>
      </c>
      <c r="J371" s="92">
        <v>50.594999999999999</v>
      </c>
      <c r="K371" s="92">
        <v>50.375</v>
      </c>
    </row>
    <row r="372" spans="1:11" x14ac:dyDescent="0.2">
      <c r="A372" s="1" t="s">
        <v>1260</v>
      </c>
      <c r="B372" s="1" t="str">
        <f t="shared" si="77"/>
        <v>UIM</v>
      </c>
      <c r="C372" s="96"/>
      <c r="D372" s="96">
        <v>3.9220000000000002</v>
      </c>
      <c r="E372" s="96">
        <v>3.6040000000000001</v>
      </c>
      <c r="F372" s="96">
        <v>3.53</v>
      </c>
      <c r="G372" s="92">
        <v>3.488</v>
      </c>
      <c r="H372" s="92">
        <v>3.4420000000000002</v>
      </c>
      <c r="I372" s="92">
        <v>3.1989999999999998</v>
      </c>
      <c r="J372" s="92">
        <v>3.4340000000000002</v>
      </c>
      <c r="K372" s="92">
        <v>3.0129999999999999</v>
      </c>
    </row>
    <row r="373" spans="1:11" ht="15" x14ac:dyDescent="0.25">
      <c r="A373" s="26" t="s">
        <v>402</v>
      </c>
      <c r="C373" s="96"/>
      <c r="D373" s="97">
        <f t="shared" ref="D373:K373" si="78">SUM(D$366:D$369)-SUM(D$21:D$22,D$370:D$372)</f>
        <v>1.5949999999999989</v>
      </c>
      <c r="E373" s="97">
        <f t="shared" si="78"/>
        <v>3.2649999999999864</v>
      </c>
      <c r="F373" s="97">
        <f t="shared" si="78"/>
        <v>6.3080000000000069</v>
      </c>
      <c r="G373" s="98">
        <f t="shared" si="78"/>
        <v>5.4899999999999949</v>
      </c>
      <c r="H373" s="98">
        <f t="shared" si="78"/>
        <v>4.9569999999999936</v>
      </c>
      <c r="I373" s="98">
        <f t="shared" si="78"/>
        <v>6.7230000000000132</v>
      </c>
      <c r="J373" s="98">
        <f t="shared" si="78"/>
        <v>7.3590000000000089</v>
      </c>
      <c r="K373" s="98">
        <f t="shared" si="78"/>
        <v>9.1929999999999836</v>
      </c>
    </row>
    <row r="374" spans="1:11" x14ac:dyDescent="0.2">
      <c r="A374" s="1" t="s">
        <v>338</v>
      </c>
      <c r="B374" s="1" t="str">
        <f t="shared" si="77"/>
        <v>UIM</v>
      </c>
      <c r="C374" s="96"/>
      <c r="D374" s="96">
        <v>-1.9550000000000001</v>
      </c>
      <c r="E374" s="96">
        <v>-1.9710000000000001</v>
      </c>
      <c r="F374" s="96">
        <v>-2.153</v>
      </c>
      <c r="G374" s="92">
        <v>-3.2170000000000001</v>
      </c>
      <c r="H374" s="92">
        <v>-3.2290000000000001</v>
      </c>
      <c r="I374" s="92">
        <v>-3.048</v>
      </c>
      <c r="J374" s="92">
        <v>-2.9820000000000002</v>
      </c>
      <c r="K374" s="92">
        <v>-1.8140000000000001</v>
      </c>
    </row>
    <row r="375" spans="1:11" x14ac:dyDescent="0.2">
      <c r="A375" s="1" t="s">
        <v>380</v>
      </c>
      <c r="B375" s="1" t="str">
        <f t="shared" si="77"/>
        <v>UIM</v>
      </c>
      <c r="C375" s="96"/>
      <c r="D375" s="96">
        <v>-0.56999999999999995</v>
      </c>
      <c r="E375" s="96">
        <v>-0.46800000000000003</v>
      </c>
      <c r="F375" s="96">
        <v>0.111</v>
      </c>
      <c r="G375" s="92">
        <v>-0.127</v>
      </c>
      <c r="H375" s="92">
        <v>-5.3999999999999999E-2</v>
      </c>
      <c r="I375" s="92">
        <v>-1.0999999999999999E-2</v>
      </c>
      <c r="J375" s="92">
        <v>4.7E-2</v>
      </c>
      <c r="K375" s="92">
        <v>0.109</v>
      </c>
    </row>
    <row r="376" spans="1:11" x14ac:dyDescent="0.2">
      <c r="A376" s="1" t="s">
        <v>381</v>
      </c>
      <c r="B376" s="1" t="str">
        <f t="shared" si="77"/>
        <v>UIM</v>
      </c>
      <c r="C376" s="96"/>
      <c r="D376" s="96">
        <v>-0.89699999999999991</v>
      </c>
      <c r="E376" s="96">
        <v>-2.1480000000000001</v>
      </c>
      <c r="F376" s="96">
        <v>-1.6919999999999999</v>
      </c>
      <c r="G376" s="92">
        <v>-3.2010000000000001</v>
      </c>
      <c r="H376" s="92">
        <v>-3.8820000000000001</v>
      </c>
      <c r="I376" s="92">
        <v>-2.4990000000000001</v>
      </c>
      <c r="J376" s="92">
        <v>-2.0099999999999998</v>
      </c>
      <c r="K376" s="92">
        <v>-1.627</v>
      </c>
    </row>
    <row r="377" spans="1:11" ht="15" x14ac:dyDescent="0.25">
      <c r="A377" s="26" t="s">
        <v>403</v>
      </c>
      <c r="C377" s="96"/>
      <c r="D377" s="97">
        <f t="shared" ref="D377:K377" si="79">SUM(D$374:D$376)-SUM(D$345,D$124-C$124,D$125-C$125)</f>
        <v>-3.4219999999999997</v>
      </c>
      <c r="E377" s="97">
        <f t="shared" si="79"/>
        <v>-4.5869999999999997</v>
      </c>
      <c r="F377" s="97">
        <f t="shared" si="79"/>
        <v>-3.734</v>
      </c>
      <c r="G377" s="98">
        <f t="shared" si="79"/>
        <v>-6.7450000000000001</v>
      </c>
      <c r="H377" s="98">
        <f t="shared" si="79"/>
        <v>-8.8320000000000007</v>
      </c>
      <c r="I377" s="98">
        <f t="shared" si="79"/>
        <v>-8.4499999999999993</v>
      </c>
      <c r="J377" s="98">
        <f t="shared" si="79"/>
        <v>-9.2520000000000007</v>
      </c>
      <c r="K377" s="98">
        <f t="shared" si="79"/>
        <v>-8.5410000000000004</v>
      </c>
    </row>
    <row r="378" spans="1:11" ht="15" x14ac:dyDescent="0.25">
      <c r="A378" s="26" t="s">
        <v>382</v>
      </c>
      <c r="B378" s="1" t="str">
        <f>$B$9</f>
        <v>NAC</v>
      </c>
      <c r="C378" s="96"/>
      <c r="D378" s="99">
        <v>-1.827</v>
      </c>
      <c r="E378" s="99">
        <v>-1.3220000000000001</v>
      </c>
      <c r="F378" s="99">
        <v>2.5739999999999998</v>
      </c>
      <c r="G378" s="100">
        <v>-1.2549999999999999</v>
      </c>
      <c r="H378" s="100">
        <v>-3.875</v>
      </c>
      <c r="I378" s="100">
        <v>-1.7270000000000001</v>
      </c>
      <c r="J378" s="100">
        <v>-1.893</v>
      </c>
      <c r="K378" s="100">
        <v>0.65200000000000002</v>
      </c>
    </row>
    <row r="379" spans="1:11" ht="15" x14ac:dyDescent="0.25">
      <c r="A379" s="26" t="s">
        <v>404</v>
      </c>
      <c r="C379" s="96"/>
      <c r="D379" s="104" t="str">
        <f t="shared" ref="D379:K379" si="80">IF(ROUND(D$378-SUM(D$373,D$377),3)=0,"OK","ERROR")</f>
        <v>OK</v>
      </c>
      <c r="E379" s="104" t="str">
        <f t="shared" si="80"/>
        <v>OK</v>
      </c>
      <c r="F379" s="104" t="str">
        <f t="shared" si="80"/>
        <v>OK</v>
      </c>
      <c r="G379" s="105" t="str">
        <f t="shared" si="80"/>
        <v>OK</v>
      </c>
      <c r="H379" s="105" t="str">
        <f t="shared" si="80"/>
        <v>OK</v>
      </c>
      <c r="I379" s="105" t="str">
        <f t="shared" si="80"/>
        <v>OK</v>
      </c>
      <c r="J379" s="105" t="str">
        <f t="shared" si="80"/>
        <v>OK</v>
      </c>
      <c r="K379" s="105" t="str">
        <f t="shared" si="80"/>
        <v>OK</v>
      </c>
    </row>
    <row r="380" spans="1:11" ht="15" x14ac:dyDescent="0.25">
      <c r="A380" s="26" t="s">
        <v>383</v>
      </c>
      <c r="B380" s="1" t="str">
        <f>$B$11</f>
        <v>UIM</v>
      </c>
      <c r="C380" s="96"/>
      <c r="D380" s="99">
        <v>3.0409999999999999</v>
      </c>
      <c r="E380" s="99">
        <v>2.1779999999999999</v>
      </c>
      <c r="F380" s="99">
        <v>1.17</v>
      </c>
      <c r="G380" s="100">
        <v>2.3119999999999998</v>
      </c>
      <c r="H380" s="100">
        <v>-5.4039999999999999</v>
      </c>
      <c r="I380" s="100">
        <v>2.1619999999999999</v>
      </c>
      <c r="J380" s="100">
        <v>-1.0589999999999999</v>
      </c>
      <c r="K380" s="100">
        <v>4.8940000000000001</v>
      </c>
    </row>
    <row r="381" spans="1:11" x14ac:dyDescent="0.2">
      <c r="A381" s="1" t="s">
        <v>384</v>
      </c>
      <c r="B381" s="1" t="str">
        <f>$B$11</f>
        <v>UIM</v>
      </c>
      <c r="C381" s="96"/>
      <c r="D381" s="96">
        <v>0.79500000000000004</v>
      </c>
      <c r="E381" s="96">
        <v>0.68500000000000005</v>
      </c>
      <c r="F381" s="96">
        <v>-0.19500000000000001</v>
      </c>
      <c r="G381" s="92">
        <v>-1.37</v>
      </c>
      <c r="H381" s="92">
        <v>9.0820000000000007</v>
      </c>
      <c r="I381" s="92">
        <v>-0.63800000000000001</v>
      </c>
      <c r="J381" s="92">
        <v>2.7429999999999999</v>
      </c>
      <c r="K381" s="92">
        <v>-5.76</v>
      </c>
    </row>
    <row r="382" spans="1:11" x14ac:dyDescent="0.2">
      <c r="A382" s="1" t="s">
        <v>385</v>
      </c>
      <c r="B382" s="1" t="str">
        <f>$B$11</f>
        <v>UIM</v>
      </c>
      <c r="C382" s="96"/>
      <c r="D382" s="96">
        <v>-2.3809999999999998</v>
      </c>
      <c r="E382" s="96">
        <v>-1.919</v>
      </c>
      <c r="F382" s="96">
        <v>-3.8140000000000001</v>
      </c>
      <c r="G382" s="92">
        <v>-0.14699999999999999</v>
      </c>
      <c r="H382" s="92">
        <v>1E-3</v>
      </c>
      <c r="I382" s="92">
        <v>1E-3</v>
      </c>
      <c r="J382" s="92">
        <v>1E-3</v>
      </c>
      <c r="K382" s="92">
        <v>0</v>
      </c>
    </row>
    <row r="383" spans="1:11" ht="15" x14ac:dyDescent="0.25">
      <c r="A383" s="26" t="s">
        <v>1312</v>
      </c>
      <c r="C383" s="96"/>
      <c r="D383" s="97">
        <f t="shared" ref="D383:K383" si="81">SUM(D$87,D$381:D$382)</f>
        <v>-1.2139999999999997</v>
      </c>
      <c r="E383" s="97">
        <f t="shared" si="81"/>
        <v>-0.85599999999999987</v>
      </c>
      <c r="F383" s="97">
        <f t="shared" si="81"/>
        <v>-3.7440000000000002</v>
      </c>
      <c r="G383" s="98">
        <f t="shared" si="81"/>
        <v>-1.0570000000000002</v>
      </c>
      <c r="H383" s="98">
        <f t="shared" si="81"/>
        <v>9.2789999999999999</v>
      </c>
      <c r="I383" s="98">
        <f t="shared" si="81"/>
        <v>-0.435</v>
      </c>
      <c r="J383" s="98">
        <f t="shared" si="81"/>
        <v>2.952</v>
      </c>
      <c r="K383" s="98">
        <f t="shared" si="81"/>
        <v>-5.5459999999999994</v>
      </c>
    </row>
    <row r="384" spans="1:11" ht="15" x14ac:dyDescent="0.25">
      <c r="A384" s="26" t="s">
        <v>386</v>
      </c>
      <c r="C384" s="96"/>
      <c r="D384" s="97">
        <f t="shared" ref="D384:K384" si="82">SUM(D$380,D$383)</f>
        <v>1.8270000000000002</v>
      </c>
      <c r="E384" s="97">
        <f t="shared" si="82"/>
        <v>1.3220000000000001</v>
      </c>
      <c r="F384" s="97">
        <f t="shared" si="82"/>
        <v>-2.5740000000000003</v>
      </c>
      <c r="G384" s="98">
        <f t="shared" si="82"/>
        <v>1.2549999999999997</v>
      </c>
      <c r="H384" s="98">
        <f t="shared" si="82"/>
        <v>3.875</v>
      </c>
      <c r="I384" s="98">
        <f t="shared" si="82"/>
        <v>1.7269999999999999</v>
      </c>
      <c r="J384" s="98">
        <f t="shared" si="82"/>
        <v>1.893</v>
      </c>
      <c r="K384" s="98">
        <f t="shared" si="82"/>
        <v>-0.65199999999999925</v>
      </c>
    </row>
  </sheetData>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
  <sheetViews>
    <sheetView topLeftCell="A56" zoomScaleNormal="100" workbookViewId="0">
      <selection activeCell="E66" sqref="E66"/>
    </sheetView>
  </sheetViews>
  <sheetFormatPr defaultRowHeight="14.25" x14ac:dyDescent="0.2"/>
  <cols>
    <col min="1" max="1" width="90.7109375" style="1" customWidth="1"/>
    <col min="2" max="2" width="5.7109375" style="1" customWidth="1"/>
    <col min="3" max="4" width="14.7109375" style="1" customWidth="1"/>
    <col min="5" max="16384" width="9.140625" style="1"/>
  </cols>
  <sheetData>
    <row r="1" spans="1:4" ht="15" x14ac:dyDescent="0.25">
      <c r="A1" s="2" t="s">
        <v>110</v>
      </c>
    </row>
    <row r="2" spans="1:4" x14ac:dyDescent="0.2">
      <c r="A2" s="4" t="s">
        <v>849</v>
      </c>
    </row>
    <row r="3" spans="1:4" x14ac:dyDescent="0.2">
      <c r="A3" s="4" t="s">
        <v>112</v>
      </c>
    </row>
    <row r="4" spans="1:4" x14ac:dyDescent="0.2">
      <c r="A4" s="4" t="s">
        <v>721</v>
      </c>
    </row>
    <row r="5" spans="1:4" x14ac:dyDescent="0.2">
      <c r="A5" s="4" t="s">
        <v>111</v>
      </c>
    </row>
    <row r="7" spans="1:4" ht="15" x14ac:dyDescent="0.25">
      <c r="A7" s="2" t="s">
        <v>113</v>
      </c>
      <c r="C7" s="5" t="s">
        <v>1310</v>
      </c>
      <c r="D7" s="5" t="s">
        <v>896</v>
      </c>
    </row>
    <row r="8" spans="1:4" ht="15" x14ac:dyDescent="0.25">
      <c r="A8" s="2" t="s">
        <v>720</v>
      </c>
      <c r="C8" s="11">
        <v>2023</v>
      </c>
      <c r="D8" s="11">
        <v>2023</v>
      </c>
    </row>
    <row r="9" spans="1:4" ht="15" x14ac:dyDescent="0.25">
      <c r="A9" s="2" t="s">
        <v>716</v>
      </c>
      <c r="C9" s="11">
        <v>0</v>
      </c>
      <c r="D9" s="11">
        <v>0</v>
      </c>
    </row>
    <row r="10" spans="1:4" ht="15" x14ac:dyDescent="0.25">
      <c r="A10" s="2"/>
      <c r="C10" s="11"/>
      <c r="D10" s="11"/>
    </row>
    <row r="11" spans="1:4" ht="15" x14ac:dyDescent="0.25">
      <c r="A11" s="2" t="s">
        <v>114</v>
      </c>
      <c r="B11" s="12" t="s">
        <v>115</v>
      </c>
      <c r="C11" s="12"/>
      <c r="D11" s="12"/>
    </row>
    <row r="12" spans="1:4" x14ac:dyDescent="0.2">
      <c r="A12" s="1" t="s">
        <v>108</v>
      </c>
      <c r="C12" s="10">
        <v>4.2500000000000003E-2</v>
      </c>
      <c r="D12" s="10">
        <v>4.2500000000000003E-2</v>
      </c>
    </row>
    <row r="13" spans="1:4" x14ac:dyDescent="0.2">
      <c r="A13" s="1" t="s">
        <v>1292</v>
      </c>
      <c r="C13" s="9">
        <v>33.549999999999997</v>
      </c>
      <c r="D13" s="9">
        <v>33.549999999999997</v>
      </c>
    </row>
    <row r="14" spans="1:4" x14ac:dyDescent="0.2">
      <c r="A14" s="1" t="s">
        <v>129</v>
      </c>
      <c r="C14" s="10">
        <v>1.4999999999999999E-2</v>
      </c>
      <c r="D14" s="10">
        <v>1.4999999999999999E-2</v>
      </c>
    </row>
    <row r="15" spans="1:4" x14ac:dyDescent="0.2">
      <c r="A15" s="1" t="s">
        <v>130</v>
      </c>
      <c r="C15" s="10">
        <v>0.02</v>
      </c>
      <c r="D15" s="10">
        <v>0.02</v>
      </c>
    </row>
    <row r="16" spans="1:4" x14ac:dyDescent="0.2">
      <c r="A16" s="1" t="s">
        <v>132</v>
      </c>
      <c r="C16" s="10">
        <v>5.2999999999999999E-2</v>
      </c>
      <c r="D16" s="10">
        <v>5.2999999999999999E-2</v>
      </c>
    </row>
    <row r="17" spans="1:4" x14ac:dyDescent="0.2">
      <c r="A17" s="18" t="s">
        <v>125</v>
      </c>
      <c r="B17" s="12" t="s">
        <v>126</v>
      </c>
    </row>
    <row r="18" spans="1:4" x14ac:dyDescent="0.2">
      <c r="A18" s="1" t="s">
        <v>1196</v>
      </c>
      <c r="C18" s="10">
        <v>1.5E-3</v>
      </c>
      <c r="D18" s="10">
        <v>1.5E-3</v>
      </c>
    </row>
    <row r="19" spans="1:4" x14ac:dyDescent="0.2">
      <c r="A19" s="1" t="s">
        <v>127</v>
      </c>
      <c r="C19" s="10">
        <v>1E-3</v>
      </c>
      <c r="D19" s="10">
        <v>1E-3</v>
      </c>
    </row>
    <row r="20" spans="1:4" x14ac:dyDescent="0.2">
      <c r="A20" s="1" t="s">
        <v>1291</v>
      </c>
      <c r="C20" s="9">
        <v>0.05</v>
      </c>
      <c r="D20" s="9">
        <v>0.05</v>
      </c>
    </row>
    <row r="21" spans="1:4" x14ac:dyDescent="0.2">
      <c r="A21" s="1" t="s">
        <v>128</v>
      </c>
      <c r="C21" s="10">
        <v>5.0000000000000001E-4</v>
      </c>
      <c r="D21" s="10">
        <v>5.0000000000000001E-4</v>
      </c>
    </row>
    <row r="22" spans="1:4" x14ac:dyDescent="0.2">
      <c r="A22" s="1" t="s">
        <v>131</v>
      </c>
      <c r="C22" s="10">
        <v>2E-3</v>
      </c>
      <c r="D22" s="10">
        <v>2E-3</v>
      </c>
    </row>
    <row r="23" spans="1:4" x14ac:dyDescent="0.2">
      <c r="A23" s="1" t="s">
        <v>133</v>
      </c>
      <c r="C23" s="10">
        <v>2E-3</v>
      </c>
      <c r="D23" s="10">
        <v>2E-3</v>
      </c>
    </row>
    <row r="24" spans="1:4" x14ac:dyDescent="0.2">
      <c r="A24" s="1" t="s">
        <v>671</v>
      </c>
      <c r="C24" s="11">
        <v>7</v>
      </c>
      <c r="D24" s="11">
        <v>7</v>
      </c>
    </row>
    <row r="26" spans="1:4" ht="15" x14ac:dyDescent="0.25">
      <c r="A26" s="2" t="s">
        <v>134</v>
      </c>
    </row>
    <row r="27" spans="1:4" x14ac:dyDescent="0.2">
      <c r="A27" s="1" t="s">
        <v>1236</v>
      </c>
      <c r="C27" s="19">
        <v>0.2</v>
      </c>
      <c r="D27" s="19">
        <v>0.2</v>
      </c>
    </row>
    <row r="28" spans="1:4" x14ac:dyDescent="0.2">
      <c r="B28" s="12" t="s">
        <v>1212</v>
      </c>
    </row>
    <row r="29" spans="1:4" ht="15" x14ac:dyDescent="0.25">
      <c r="A29" s="2"/>
      <c r="B29" s="12" t="s">
        <v>1213</v>
      </c>
    </row>
    <row r="30" spans="1:4" x14ac:dyDescent="0.2">
      <c r="A30" s="1" t="s">
        <v>1233</v>
      </c>
      <c r="C30" s="61" t="s">
        <v>815</v>
      </c>
      <c r="D30" s="61" t="s">
        <v>815</v>
      </c>
    </row>
    <row r="31" spans="1:4" x14ac:dyDescent="0.2">
      <c r="A31" s="1" t="s">
        <v>814</v>
      </c>
      <c r="C31" s="9">
        <v>1.25</v>
      </c>
      <c r="D31" s="9">
        <v>1.25</v>
      </c>
    </row>
    <row r="32" spans="1:4" x14ac:dyDescent="0.2">
      <c r="A32" s="1" t="s">
        <v>412</v>
      </c>
      <c r="C32" s="19">
        <v>0.11</v>
      </c>
      <c r="D32" s="19">
        <v>0.11</v>
      </c>
    </row>
    <row r="33" spans="1:4" x14ac:dyDescent="0.2">
      <c r="A33" s="1" t="s">
        <v>1295</v>
      </c>
      <c r="C33" s="19">
        <v>3.0000000000000001E-3</v>
      </c>
      <c r="D33" s="19">
        <v>3.0000000000000001E-3</v>
      </c>
    </row>
    <row r="34" spans="1:4" x14ac:dyDescent="0.2">
      <c r="A34" s="1" t="s">
        <v>413</v>
      </c>
      <c r="C34" s="19">
        <v>4.2000000000000003E-2</v>
      </c>
      <c r="D34" s="19">
        <v>4.2000000000000003E-2</v>
      </c>
    </row>
    <row r="35" spans="1:4" x14ac:dyDescent="0.2">
      <c r="A35" s="1" t="s">
        <v>1293</v>
      </c>
      <c r="C35" s="19">
        <v>4.0000000000000001E-3</v>
      </c>
      <c r="D35" s="19">
        <v>4.0000000000000001E-3</v>
      </c>
    </row>
    <row r="36" spans="1:4" x14ac:dyDescent="0.2">
      <c r="A36" s="1" t="s">
        <v>414</v>
      </c>
      <c r="C36" s="19">
        <v>7.1999999999999995E-2</v>
      </c>
      <c r="D36" s="19">
        <v>7.1999999999999995E-2</v>
      </c>
    </row>
    <row r="37" spans="1:4" x14ac:dyDescent="0.2">
      <c r="A37" s="1" t="s">
        <v>1294</v>
      </c>
      <c r="C37" s="19">
        <v>2E-3</v>
      </c>
      <c r="D37" s="19">
        <v>2E-3</v>
      </c>
    </row>
    <row r="38" spans="1:4" x14ac:dyDescent="0.2">
      <c r="A38" s="1" t="s">
        <v>415</v>
      </c>
      <c r="C38" s="19">
        <v>1.2999999999999999E-2</v>
      </c>
      <c r="D38" s="19">
        <v>1.2999999999999999E-2</v>
      </c>
    </row>
    <row r="39" spans="1:4" x14ac:dyDescent="0.2">
      <c r="A39" s="1" t="s">
        <v>1296</v>
      </c>
      <c r="C39" s="19">
        <v>1E-3</v>
      </c>
      <c r="D39" s="19">
        <v>1E-3</v>
      </c>
    </row>
    <row r="40" spans="1:4" x14ac:dyDescent="0.2">
      <c r="A40" s="1" t="s">
        <v>416</v>
      </c>
      <c r="C40" s="19">
        <v>4.2999999999999997E-2</v>
      </c>
      <c r="D40" s="19">
        <v>4.2999999999999997E-2</v>
      </c>
    </row>
    <row r="41" spans="1:4" x14ac:dyDescent="0.2">
      <c r="A41" s="1" t="s">
        <v>1297</v>
      </c>
      <c r="C41" s="19">
        <v>3.0000000000000001E-3</v>
      </c>
      <c r="D41" s="19">
        <v>3.0000000000000001E-3</v>
      </c>
    </row>
    <row r="42" spans="1:4" x14ac:dyDescent="0.2">
      <c r="A42" s="1" t="s">
        <v>417</v>
      </c>
      <c r="C42" s="19">
        <v>3.0000000000000001E-3</v>
      </c>
      <c r="D42" s="19">
        <v>3.0000000000000001E-3</v>
      </c>
    </row>
    <row r="43" spans="1:4" x14ac:dyDescent="0.2">
      <c r="A43" s="1" t="s">
        <v>1298</v>
      </c>
      <c r="C43" s="19">
        <v>1E-3</v>
      </c>
      <c r="D43" s="19">
        <v>1E-3</v>
      </c>
    </row>
    <row r="44" spans="1:4" x14ac:dyDescent="0.2">
      <c r="C44" s="19"/>
      <c r="D44" s="19"/>
    </row>
    <row r="45" spans="1:4" x14ac:dyDescent="0.2">
      <c r="A45" s="1" t="s">
        <v>1267</v>
      </c>
      <c r="C45" s="40">
        <v>0.5</v>
      </c>
      <c r="D45" s="40">
        <v>0.5</v>
      </c>
    </row>
    <row r="47" spans="1:4" x14ac:dyDescent="0.2">
      <c r="A47" s="1" t="s">
        <v>466</v>
      </c>
      <c r="C47" s="40">
        <v>0.65</v>
      </c>
      <c r="D47" s="40">
        <v>0.65</v>
      </c>
    </row>
    <row r="48" spans="1:4" x14ac:dyDescent="0.2">
      <c r="B48" s="12" t="s">
        <v>1211</v>
      </c>
      <c r="C48" s="40"/>
      <c r="D48" s="40"/>
    </row>
    <row r="49" spans="1:4" x14ac:dyDescent="0.2">
      <c r="B49" s="12" t="s">
        <v>1214</v>
      </c>
      <c r="C49" s="40"/>
      <c r="D49" s="40"/>
    </row>
    <row r="50" spans="1:4" x14ac:dyDescent="0.2">
      <c r="A50" s="1" t="s">
        <v>1234</v>
      </c>
      <c r="B50" s="12"/>
      <c r="C50" s="61" t="s">
        <v>815</v>
      </c>
      <c r="D50" s="61" t="s">
        <v>815</v>
      </c>
    </row>
    <row r="51" spans="1:4" x14ac:dyDescent="0.2">
      <c r="A51" s="1" t="s">
        <v>724</v>
      </c>
      <c r="C51" s="19">
        <v>2.1000000000000001E-2</v>
      </c>
      <c r="D51" s="19">
        <v>2.1000000000000001E-2</v>
      </c>
    </row>
    <row r="52" spans="1:4" x14ac:dyDescent="0.2">
      <c r="A52" s="1" t="s">
        <v>813</v>
      </c>
      <c r="C52" s="19">
        <v>2E-3</v>
      </c>
      <c r="D52" s="19">
        <v>2E-3</v>
      </c>
    </row>
    <row r="53" spans="1:4" x14ac:dyDescent="0.2">
      <c r="B53" s="12" t="s">
        <v>1217</v>
      </c>
      <c r="C53" s="19"/>
      <c r="D53" s="19"/>
    </row>
    <row r="54" spans="1:4" x14ac:dyDescent="0.2">
      <c r="B54" s="12" t="s">
        <v>1218</v>
      </c>
      <c r="C54" s="19"/>
      <c r="D54" s="19"/>
    </row>
    <row r="55" spans="1:4" x14ac:dyDescent="0.2">
      <c r="A55" s="1" t="s">
        <v>1235</v>
      </c>
      <c r="B55" s="12"/>
      <c r="C55" s="61" t="s">
        <v>815</v>
      </c>
      <c r="D55" s="61" t="s">
        <v>815</v>
      </c>
    </row>
    <row r="56" spans="1:4" x14ac:dyDescent="0.2">
      <c r="A56" s="1" t="s">
        <v>812</v>
      </c>
      <c r="C56" s="19">
        <v>1.0999999999999999E-2</v>
      </c>
      <c r="D56" s="19">
        <v>1.0999999999999999E-2</v>
      </c>
    </row>
    <row r="57" spans="1:4" x14ac:dyDescent="0.2">
      <c r="A57" s="1" t="s">
        <v>471</v>
      </c>
      <c r="C57" s="19">
        <v>1.4999999999999999E-2</v>
      </c>
      <c r="D57" s="19">
        <v>1.4999999999999999E-2</v>
      </c>
    </row>
    <row r="58" spans="1:4" x14ac:dyDescent="0.2">
      <c r="A58" s="1" t="s">
        <v>1216</v>
      </c>
      <c r="C58" s="10">
        <v>5.0000000000000001E-4</v>
      </c>
      <c r="D58" s="10">
        <v>5.0000000000000001E-4</v>
      </c>
    </row>
    <row r="59" spans="1:4" x14ac:dyDescent="0.2">
      <c r="C59" s="10"/>
      <c r="D59" s="10"/>
    </row>
    <row r="60" spans="1:4" x14ac:dyDescent="0.2">
      <c r="A60" s="1" t="s">
        <v>656</v>
      </c>
      <c r="C60" s="11">
        <v>2032</v>
      </c>
      <c r="D60" s="11">
        <v>2032</v>
      </c>
    </row>
    <row r="61" spans="1:4" x14ac:dyDescent="0.2">
      <c r="A61" s="1" t="s">
        <v>476</v>
      </c>
      <c r="C61" s="19">
        <v>2E-3</v>
      </c>
      <c r="D61" s="19">
        <v>2E-3</v>
      </c>
    </row>
    <row r="62" spans="1:4" x14ac:dyDescent="0.2">
      <c r="B62" s="12" t="s">
        <v>1288</v>
      </c>
    </row>
    <row r="63" spans="1:4" x14ac:dyDescent="0.2">
      <c r="B63" s="12" t="s">
        <v>1289</v>
      </c>
    </row>
    <row r="64" spans="1:4" x14ac:dyDescent="0.2">
      <c r="A64" s="1" t="s">
        <v>494</v>
      </c>
      <c r="C64" s="6">
        <v>2.2000000000000002</v>
      </c>
      <c r="D64" s="6">
        <v>2.2000000000000002</v>
      </c>
    </row>
    <row r="65" spans="1:4" x14ac:dyDescent="0.2">
      <c r="A65" s="1" t="s">
        <v>495</v>
      </c>
      <c r="C65" s="19">
        <v>4.4999999999999998E-2</v>
      </c>
      <c r="D65" s="19">
        <v>4.4999999999999998E-2</v>
      </c>
    </row>
    <row r="66" spans="1:4" x14ac:dyDescent="0.2">
      <c r="A66" s="1" t="s">
        <v>615</v>
      </c>
      <c r="C66" s="6">
        <v>9.5</v>
      </c>
      <c r="D66" s="6">
        <v>9.5</v>
      </c>
    </row>
    <row r="67" spans="1:4" x14ac:dyDescent="0.2">
      <c r="A67" s="1" t="s">
        <v>616</v>
      </c>
      <c r="C67" s="19">
        <v>4.4999999999999998E-2</v>
      </c>
      <c r="D67" s="19">
        <v>4.4999999999999998E-2</v>
      </c>
    </row>
    <row r="68" spans="1:4" x14ac:dyDescent="0.2">
      <c r="C68" s="61"/>
      <c r="D68" s="61"/>
    </row>
    <row r="69" spans="1:4" x14ac:dyDescent="0.2">
      <c r="A69" s="18" t="s">
        <v>1226</v>
      </c>
      <c r="B69" s="12" t="s">
        <v>1208</v>
      </c>
      <c r="C69" s="61"/>
      <c r="D69" s="61"/>
    </row>
    <row r="70" spans="1:4" x14ac:dyDescent="0.2">
      <c r="A70" s="18" t="s">
        <v>1225</v>
      </c>
      <c r="B70" s="12" t="s">
        <v>1200</v>
      </c>
      <c r="C70" s="61"/>
      <c r="D70" s="61"/>
    </row>
    <row r="71" spans="1:4" x14ac:dyDescent="0.2">
      <c r="A71" s="1" t="s">
        <v>1201</v>
      </c>
      <c r="C71" s="40">
        <v>0.08</v>
      </c>
      <c r="D71" s="40">
        <v>0.08</v>
      </c>
    </row>
    <row r="72" spans="1:4" x14ac:dyDescent="0.2">
      <c r="A72" s="1" t="s">
        <v>1202</v>
      </c>
      <c r="C72" s="40">
        <v>0.43</v>
      </c>
      <c r="D72" s="40">
        <v>0.43</v>
      </c>
    </row>
    <row r="73" spans="1:4" x14ac:dyDescent="0.2">
      <c r="A73" s="1" t="s">
        <v>1203</v>
      </c>
      <c r="C73" s="40">
        <v>0.45</v>
      </c>
      <c r="D73" s="40">
        <v>0.45</v>
      </c>
    </row>
    <row r="74" spans="1:4" x14ac:dyDescent="0.2">
      <c r="A74" s="1" t="s">
        <v>1204</v>
      </c>
      <c r="C74" s="40">
        <v>0.02</v>
      </c>
      <c r="D74" s="40">
        <v>0.02</v>
      </c>
    </row>
    <row r="75" spans="1:4" x14ac:dyDescent="0.2">
      <c r="A75" s="1" t="s">
        <v>1205</v>
      </c>
      <c r="C75" s="40">
        <v>0.01</v>
      </c>
      <c r="D75" s="40">
        <v>0.01</v>
      </c>
    </row>
    <row r="76" spans="1:4" x14ac:dyDescent="0.2">
      <c r="A76" s="1" t="s">
        <v>1206</v>
      </c>
      <c r="C76" s="40">
        <v>0.05</v>
      </c>
      <c r="D76" s="40">
        <v>0.05</v>
      </c>
    </row>
    <row r="77" spans="1:4" x14ac:dyDescent="0.2">
      <c r="A77" s="1" t="s">
        <v>1207</v>
      </c>
      <c r="C77" s="40">
        <v>0.1</v>
      </c>
      <c r="D77" s="40">
        <v>0.1</v>
      </c>
    </row>
    <row r="78" spans="1:4" x14ac:dyDescent="0.2">
      <c r="A78" s="1" t="s">
        <v>1265</v>
      </c>
      <c r="C78" s="40">
        <v>0.36</v>
      </c>
      <c r="D78" s="40">
        <v>0.36</v>
      </c>
    </row>
    <row r="79" spans="1:4" x14ac:dyDescent="0.2">
      <c r="A79" s="1" t="s">
        <v>1266</v>
      </c>
      <c r="C79" s="40">
        <v>0.54</v>
      </c>
      <c r="D79" s="40">
        <v>0.54</v>
      </c>
    </row>
    <row r="80" spans="1:4" x14ac:dyDescent="0.2">
      <c r="C80" s="40"/>
      <c r="D80" s="40"/>
    </row>
    <row r="81" spans="1:4" x14ac:dyDescent="0.2">
      <c r="A81" s="18" t="s">
        <v>657</v>
      </c>
      <c r="B81" s="12" t="s">
        <v>658</v>
      </c>
    </row>
    <row r="82" spans="1:4" x14ac:dyDescent="0.2">
      <c r="A82" s="18" t="s">
        <v>1231</v>
      </c>
      <c r="B82" s="12" t="s">
        <v>1182</v>
      </c>
    </row>
    <row r="83" spans="1:4" x14ac:dyDescent="0.2">
      <c r="B83" s="12" t="s">
        <v>659</v>
      </c>
    </row>
    <row r="84" spans="1:4" x14ac:dyDescent="0.2">
      <c r="A84" s="1" t="s">
        <v>660</v>
      </c>
      <c r="C84" s="11">
        <v>3</v>
      </c>
      <c r="D84" s="11">
        <v>3</v>
      </c>
    </row>
    <row r="85" spans="1:4" x14ac:dyDescent="0.2">
      <c r="A85" s="1" t="s">
        <v>661</v>
      </c>
      <c r="C85" s="11">
        <v>5</v>
      </c>
      <c r="D85" s="11">
        <v>5</v>
      </c>
    </row>
    <row r="86" spans="1:4" x14ac:dyDescent="0.2">
      <c r="C86" s="40"/>
      <c r="D86" s="40"/>
    </row>
    <row r="87" spans="1:4" ht="15" x14ac:dyDescent="0.25">
      <c r="A87" s="2" t="s">
        <v>826</v>
      </c>
      <c r="B87" s="12" t="s">
        <v>832</v>
      </c>
    </row>
    <row r="88" spans="1:4" x14ac:dyDescent="0.2">
      <c r="B88" s="12" t="s">
        <v>833</v>
      </c>
    </row>
    <row r="89" spans="1:4" x14ac:dyDescent="0.2">
      <c r="A89" s="1" t="s">
        <v>1232</v>
      </c>
      <c r="C89" s="62" t="s">
        <v>815</v>
      </c>
      <c r="D89" s="62" t="s">
        <v>815</v>
      </c>
    </row>
    <row r="90" spans="1:4" x14ac:dyDescent="0.2">
      <c r="A90" s="1" t="s">
        <v>835</v>
      </c>
      <c r="C90" s="11">
        <v>2023</v>
      </c>
      <c r="D90" s="11">
        <v>2023</v>
      </c>
    </row>
    <row r="91" spans="1:4" x14ac:dyDescent="0.2">
      <c r="A91" s="1" t="s">
        <v>827</v>
      </c>
      <c r="C91" s="40">
        <v>0.1</v>
      </c>
      <c r="D91" s="40">
        <v>0.1</v>
      </c>
    </row>
    <row r="92" spans="1:4" x14ac:dyDescent="0.2">
      <c r="A92" s="1" t="s">
        <v>831</v>
      </c>
      <c r="C92" s="40">
        <v>0.05</v>
      </c>
      <c r="D92" s="40">
        <v>0.05</v>
      </c>
    </row>
    <row r="93" spans="1:4" x14ac:dyDescent="0.2">
      <c r="A93" s="1" t="s">
        <v>828</v>
      </c>
      <c r="C93" s="10">
        <v>5.0000000000000001E-3</v>
      </c>
      <c r="D93" s="10">
        <v>5.0000000000000001E-3</v>
      </c>
    </row>
    <row r="94" spans="1:4" x14ac:dyDescent="0.2">
      <c r="A94" s="1" t="s">
        <v>829</v>
      </c>
      <c r="C94" s="10">
        <v>7.4999999999999997E-3</v>
      </c>
      <c r="D94" s="10">
        <v>7.4999999999999997E-3</v>
      </c>
    </row>
    <row r="95" spans="1:4" x14ac:dyDescent="0.2">
      <c r="A95" s="1" t="s">
        <v>830</v>
      </c>
      <c r="C95" s="10">
        <v>0.01</v>
      </c>
      <c r="D95" s="10">
        <v>0.01</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36"/>
  <sheetViews>
    <sheetView zoomScaleNormal="100" workbookViewId="0">
      <pane xSplit="2" ySplit="8" topLeftCell="J9" activePane="bottomRight" state="frozen"/>
      <selection pane="topRight" activeCell="C1" sqref="C1"/>
      <selection pane="bottomLeft" activeCell="A9" sqref="A9"/>
      <selection pane="bottomRight" activeCell="M10" sqref="M10"/>
    </sheetView>
  </sheetViews>
  <sheetFormatPr defaultRowHeight="14.25" x14ac:dyDescent="0.2"/>
  <cols>
    <col min="1" max="1" width="85.7109375" style="1" customWidth="1"/>
    <col min="2" max="2" width="25.7109375" style="1" customWidth="1"/>
    <col min="3" max="3" width="7.7109375" style="1" customWidth="1"/>
    <col min="4" max="8" width="10.7109375" style="1" customWidth="1"/>
    <col min="9" max="9" width="9.140625" style="1"/>
    <col min="10" max="10" width="9.140625" style="1" customWidth="1"/>
    <col min="11" max="18" width="9.5703125" style="1" bestFit="1" customWidth="1"/>
    <col min="19" max="20" width="9.7109375" style="1" bestFit="1" customWidth="1"/>
    <col min="21" max="16384" width="9.140625" style="1"/>
  </cols>
  <sheetData>
    <row r="1" spans="1:21" ht="15" x14ac:dyDescent="0.25">
      <c r="A1" s="2" t="s">
        <v>116</v>
      </c>
      <c r="B1" s="5" t="s">
        <v>1310</v>
      </c>
      <c r="C1" s="5">
        <f>MATCH($B$1,Assumptions!$C$7:$W$7,0)</f>
        <v>1</v>
      </c>
      <c r="D1" s="4" t="s">
        <v>117</v>
      </c>
      <c r="E1" s="4"/>
    </row>
    <row r="2" spans="1:21" ht="15" x14ac:dyDescent="0.25">
      <c r="A2" s="4" t="s">
        <v>118</v>
      </c>
      <c r="B2" s="4"/>
      <c r="C2" s="5"/>
      <c r="F2" s="1" t="s">
        <v>662</v>
      </c>
      <c r="J2" s="6"/>
      <c r="K2" s="6"/>
      <c r="L2" s="6">
        <f ca="1">MAX(OFFSET(Assumptions!$B$8,0,$C$1)+OFFSET(Assumptions!$B$85,0,$C$1)-L$6,0)/(OFFSET(Assumptions!$B$85,0,$C$1)*(OFFSET(Assumptions!$B$85,0,$C$1)+1)/2)</f>
        <v>0.33333333333333331</v>
      </c>
      <c r="M2" s="6">
        <f ca="1">MAX(OFFSET(Assumptions!$B$8,0,$C$1)+OFFSET(Assumptions!$B$85,0,$C$1)-M$6,0)/(OFFSET(Assumptions!$B$85,0,$C$1)*(OFFSET(Assumptions!$B$85,0,$C$1)+1)/2)</f>
        <v>0.26666666666666666</v>
      </c>
      <c r="N2" s="6">
        <f ca="1">MAX(OFFSET(Assumptions!$B$8,0,$C$1)+OFFSET(Assumptions!$B$85,0,$C$1)-N$6,0)/(OFFSET(Assumptions!$B$85,0,$C$1)*(OFFSET(Assumptions!$B$85,0,$C$1)+1)/2)</f>
        <v>0.2</v>
      </c>
      <c r="O2" s="6">
        <f ca="1">MAX(OFFSET(Assumptions!$B$8,0,$C$1)+OFFSET(Assumptions!$B$85,0,$C$1)-O$6,0)/(OFFSET(Assumptions!$B$85,0,$C$1)*(OFFSET(Assumptions!$B$85,0,$C$1)+1)/2)</f>
        <v>0.13333333333333333</v>
      </c>
      <c r="P2" s="6">
        <f ca="1">MAX(OFFSET(Assumptions!$B$8,0,$C$1)+OFFSET(Assumptions!$B$85,0,$C$1)-P$6,0)/(OFFSET(Assumptions!$B$85,0,$C$1)*(OFFSET(Assumptions!$B$85,0,$C$1)+1)/2)</f>
        <v>6.6666666666666666E-2</v>
      </c>
      <c r="Q2" s="6">
        <f ca="1">MAX(OFFSET(Assumptions!$B$8,0,$C$1)+OFFSET(Assumptions!$B$85,0,$C$1)-Q$6,0)/(OFFSET(Assumptions!$B$85,0,$C$1)*(OFFSET(Assumptions!$B$85,0,$C$1)+1)/2)</f>
        <v>0</v>
      </c>
      <c r="R2" s="6">
        <f ca="1">MAX(OFFSET(Assumptions!$B$8,0,$C$1)+OFFSET(Assumptions!$B$85,0,$C$1)-R$6,0)/(OFFSET(Assumptions!$B$85,0,$C$1)*(OFFSET(Assumptions!$B$85,0,$C$1)+1)/2)</f>
        <v>0</v>
      </c>
      <c r="S2" s="6">
        <f ca="1">MAX(OFFSET(Assumptions!$B$8,0,$C$1)+OFFSET(Assumptions!$B$85,0,$C$1)-S$6,0)/(OFFSET(Assumptions!$B$85,0,$C$1)*(OFFSET(Assumptions!$B$85,0,$C$1)+1)/2)</f>
        <v>0</v>
      </c>
      <c r="T2" s="6">
        <f ca="1">MAX(OFFSET(Assumptions!$B$8,0,$C$1)+OFFSET(Assumptions!$B$85,0,$C$1)-T$6,0)/(OFFSET(Assumptions!$B$85,0,$C$1)*(OFFSET(Assumptions!$B$85,0,$C$1)+1)/2)</f>
        <v>0</v>
      </c>
      <c r="U2" s="6">
        <f ca="1">MAX(OFFSET(Assumptions!$B$8,0,$C$1)+OFFSET(Assumptions!$B$85,0,$C$1)-U$6,0)/(OFFSET(Assumptions!$B$85,0,$C$1)*(OFFSET(Assumptions!$B$85,0,$C$1)+1)/2)</f>
        <v>0</v>
      </c>
    </row>
    <row r="3" spans="1:21" ht="15" x14ac:dyDescent="0.25">
      <c r="B3" s="4"/>
      <c r="C3" s="5"/>
      <c r="D3" s="30" t="s">
        <v>717</v>
      </c>
      <c r="E3" s="30" t="s">
        <v>717</v>
      </c>
      <c r="F3" s="30" t="s">
        <v>717</v>
      </c>
      <c r="G3" s="32" t="s">
        <v>1311</v>
      </c>
      <c r="H3" s="25"/>
      <c r="I3" s="25"/>
      <c r="K3" s="2"/>
      <c r="L3" s="2" t="s">
        <v>1309</v>
      </c>
    </row>
    <row r="4" spans="1:21" ht="15" x14ac:dyDescent="0.25">
      <c r="D4" s="30" t="s">
        <v>718</v>
      </c>
      <c r="E4" s="30" t="s">
        <v>718</v>
      </c>
      <c r="F4" s="30" t="s">
        <v>718</v>
      </c>
      <c r="G4" s="25" t="s">
        <v>135</v>
      </c>
      <c r="L4" s="1" t="s">
        <v>136</v>
      </c>
    </row>
    <row r="5" spans="1:21" ht="15" x14ac:dyDescent="0.25">
      <c r="A5" s="13" t="s">
        <v>119</v>
      </c>
      <c r="D5" s="29" t="s">
        <v>21</v>
      </c>
      <c r="E5" s="29" t="s">
        <v>23</v>
      </c>
      <c r="F5" s="29" t="s">
        <v>24</v>
      </c>
      <c r="G5" s="31" t="s">
        <v>25</v>
      </c>
      <c r="H5" s="31" t="s">
        <v>26</v>
      </c>
      <c r="I5" s="31" t="s">
        <v>27</v>
      </c>
      <c r="J5" s="31" t="s">
        <v>28</v>
      </c>
      <c r="K5" s="31" t="s">
        <v>29</v>
      </c>
      <c r="L5" s="5" t="s">
        <v>30</v>
      </c>
      <c r="M5" s="5" t="s">
        <v>31</v>
      </c>
      <c r="N5" s="5" t="s">
        <v>32</v>
      </c>
      <c r="O5" s="5" t="s">
        <v>33</v>
      </c>
      <c r="P5" s="5" t="s">
        <v>34</v>
      </c>
      <c r="Q5" s="5" t="s">
        <v>35</v>
      </c>
      <c r="R5" s="5" t="s">
        <v>36</v>
      </c>
      <c r="S5" s="5" t="s">
        <v>37</v>
      </c>
      <c r="T5" s="5" t="s">
        <v>38</v>
      </c>
      <c r="U5" s="5" t="s">
        <v>39</v>
      </c>
    </row>
    <row r="6" spans="1:21" ht="15" x14ac:dyDescent="0.25">
      <c r="A6" s="13" t="s">
        <v>697</v>
      </c>
      <c r="D6" s="30">
        <v>2015</v>
      </c>
      <c r="E6" s="30">
        <v>2016</v>
      </c>
      <c r="F6" s="30">
        <v>2017</v>
      </c>
      <c r="G6" s="32">
        <v>2018</v>
      </c>
      <c r="H6" s="32">
        <v>2019</v>
      </c>
      <c r="I6" s="32">
        <v>2020</v>
      </c>
      <c r="J6" s="32">
        <v>2021</v>
      </c>
      <c r="K6" s="32">
        <v>2022</v>
      </c>
      <c r="L6" s="2">
        <v>2023</v>
      </c>
      <c r="M6" s="2">
        <v>2024</v>
      </c>
      <c r="N6" s="2">
        <v>2025</v>
      </c>
      <c r="O6" s="2">
        <v>2026</v>
      </c>
      <c r="P6" s="2">
        <v>2027</v>
      </c>
      <c r="Q6" s="2">
        <v>2028</v>
      </c>
      <c r="R6" s="2">
        <v>2029</v>
      </c>
      <c r="S6" s="2">
        <v>2030</v>
      </c>
      <c r="T6" s="2">
        <v>2031</v>
      </c>
      <c r="U6" s="2">
        <v>2032</v>
      </c>
    </row>
    <row r="7" spans="1:21" ht="15" x14ac:dyDescent="0.25">
      <c r="A7" s="13"/>
      <c r="D7" s="39">
        <f ca="1">OFFSET(D$1,Display!$C$1-1,0)</f>
        <v>60.631000000000007</v>
      </c>
      <c r="E7" s="39">
        <f ca="1">OFFSET(E$1,Display!$C$1-1,0)</f>
        <v>61.879999999999995</v>
      </c>
      <c r="F7" s="39">
        <f ca="1">OFFSET(F$1,Display!$C$1-1,0)</f>
        <v>59.480000000000004</v>
      </c>
      <c r="G7" s="38">
        <f ca="1">OFFSET(G$1,Display!$C$1-1,0)</f>
        <v>60.408999999999992</v>
      </c>
      <c r="H7" s="38">
        <f ca="1">OFFSET(H$1,Display!$C$1-1,0)</f>
        <v>64.203999999999994</v>
      </c>
      <c r="I7" s="38">
        <f ca="1">OFFSET(I$1,Display!$C$1-1,0)</f>
        <v>65.864999999999995</v>
      </c>
      <c r="J7" s="38">
        <f ca="1">OFFSET(J$1,Display!$C$1-1,0)</f>
        <v>67.606999999999999</v>
      </c>
      <c r="K7" s="38">
        <f ca="1">OFFSET(K$1,Display!$C$1-1,0)</f>
        <v>66.956999999999994</v>
      </c>
      <c r="L7" s="7">
        <f ca="1">OFFSET(L$1,Display!$C$1-1,0)</f>
        <v>66.643535945698233</v>
      </c>
      <c r="M7" s="7">
        <f ca="1">OFFSET(M$1,Display!$C$1-1,0)</f>
        <v>67.438556454902425</v>
      </c>
      <c r="N7" s="7">
        <f ca="1">OFFSET(N$1,Display!$C$1-1,0)</f>
        <v>69.288114698988124</v>
      </c>
      <c r="O7" s="7">
        <f ca="1">OFFSET(O$1,Display!$C$1-1,0)</f>
        <v>72.217699046041901</v>
      </c>
      <c r="P7" s="7">
        <f ca="1">OFFSET(P$1,Display!$C$1-1,0)</f>
        <v>76.30681841235841</v>
      </c>
      <c r="Q7" s="7">
        <f ca="1">OFFSET(Q$1,Display!$C$1-1,0)</f>
        <v>80.574810464525299</v>
      </c>
      <c r="R7" s="7">
        <f ca="1">OFFSET(R$1,Display!$C$1-1,0)</f>
        <v>85.089401021433162</v>
      </c>
      <c r="S7" s="7">
        <f ca="1">OFFSET(S$1,Display!$C$1-1,0)</f>
        <v>89.675857582057318</v>
      </c>
      <c r="T7" s="7">
        <f ca="1">OFFSET(T$1,Display!$C$1-1,0)</f>
        <v>94.375141021241745</v>
      </c>
      <c r="U7" s="7">
        <f ca="1">OFFSET(U$1,Display!$C$1-1,0)</f>
        <v>99.217845747870115</v>
      </c>
    </row>
    <row r="8" spans="1:21" ht="15" x14ac:dyDescent="0.25">
      <c r="A8" s="13" t="s">
        <v>707</v>
      </c>
      <c r="D8" s="55">
        <f t="shared" ref="D8:E8" ca="1" si="0">D$7/D$13</f>
        <v>0.24745427905590997</v>
      </c>
      <c r="E8" s="55">
        <f t="shared" ca="1" si="0"/>
        <v>0.24009063537883726</v>
      </c>
      <c r="F8" s="55">
        <f ca="1">F$7/F$13</f>
        <v>0.21690613376121362</v>
      </c>
      <c r="G8" s="57">
        <f t="shared" ref="G8:J8" ca="1" si="1">G$7/G$13</f>
        <v>0.20757679884544017</v>
      </c>
      <c r="H8" s="57">
        <f t="shared" ca="1" si="1"/>
        <v>0.2107875807230023</v>
      </c>
      <c r="I8" s="57">
        <f t="shared" ca="1" si="1"/>
        <v>0.20584677986442521</v>
      </c>
      <c r="J8" s="57">
        <f t="shared" ca="1" si="1"/>
        <v>0.20198015660804072</v>
      </c>
      <c r="K8" s="57">
        <f ca="1">K$7/K$13</f>
        <v>0.19141947214344524</v>
      </c>
      <c r="L8" s="56">
        <f t="shared" ref="L8:T8" ca="1" si="2">L$7/L$13</f>
        <v>0.18198854983090856</v>
      </c>
      <c r="M8" s="56">
        <f t="shared" ca="1" si="2"/>
        <v>0.17612881479183973</v>
      </c>
      <c r="N8" s="56">
        <f t="shared" ca="1" si="2"/>
        <v>0.17324001134293449</v>
      </c>
      <c r="O8" s="56">
        <f t="shared" ca="1" si="2"/>
        <v>0.17299624685315193</v>
      </c>
      <c r="P8" s="56">
        <f t="shared" ca="1" si="2"/>
        <v>0.17519865471943524</v>
      </c>
      <c r="Q8" s="56">
        <f t="shared" ca="1" si="2"/>
        <v>0.17737609071369431</v>
      </c>
      <c r="R8" s="56">
        <f t="shared" ca="1" si="2"/>
        <v>0.17967814214859132</v>
      </c>
      <c r="S8" s="56">
        <f t="shared" ca="1" si="2"/>
        <v>0.18170664679848769</v>
      </c>
      <c r="T8" s="56">
        <f t="shared" ca="1" si="2"/>
        <v>0.18355897014143446</v>
      </c>
      <c r="U8" s="56">
        <f ca="1">U$7/U$13</f>
        <v>0.18528411984943813</v>
      </c>
    </row>
    <row r="9" spans="1:21" ht="16.5" x14ac:dyDescent="0.25">
      <c r="A9" s="54" t="s">
        <v>120</v>
      </c>
      <c r="D9" s="2"/>
      <c r="E9" s="2"/>
      <c r="F9" s="2"/>
      <c r="G9" s="2"/>
      <c r="H9" s="2"/>
    </row>
    <row r="10" spans="1:21" ht="15" x14ac:dyDescent="0.25">
      <c r="A10" s="18" t="s">
        <v>276</v>
      </c>
      <c r="D10" s="2"/>
      <c r="E10" s="2"/>
      <c r="F10" s="2"/>
      <c r="G10" s="2"/>
      <c r="H10" s="2"/>
    </row>
    <row r="11" spans="1:21" ht="15" x14ac:dyDescent="0.25">
      <c r="A11" s="2" t="s">
        <v>277</v>
      </c>
      <c r="B11" s="4" t="s">
        <v>121</v>
      </c>
      <c r="D11" s="14">
        <f>'Economic Forecasts'!M$6</f>
        <v>221.56800000000001</v>
      </c>
      <c r="E11" s="14">
        <f>'Economic Forecasts'!N$6</f>
        <v>229.935</v>
      </c>
      <c r="F11" s="14">
        <f>'Economic Forecasts'!O$6</f>
        <v>237.63200000000001</v>
      </c>
      <c r="G11" s="15">
        <f>'Economic Forecasts'!P$6</f>
        <v>244.17400000000001</v>
      </c>
      <c r="H11" s="15">
        <f>'Economic Forecasts'!Q$6</f>
        <v>252.261</v>
      </c>
      <c r="I11" s="15">
        <f>'Economic Forecasts'!R$6</f>
        <v>260.72199999999998</v>
      </c>
      <c r="J11" s="15">
        <f>'Economic Forecasts'!S$6</f>
        <v>267.89</v>
      </c>
      <c r="K11" s="15">
        <f>'Economic Forecasts'!T$6</f>
        <v>274.57</v>
      </c>
      <c r="L11" s="6">
        <f t="shared" ref="L11:U11" ca="1" si="3">K$11*(1+L$26)*L$17*(1-L$24)*L$25/(K$17*(1-K$24)*K$25)</f>
        <v>281.81039366258022</v>
      </c>
      <c r="M11" s="6">
        <f t="shared" ca="1" si="3"/>
        <v>288.88215848674201</v>
      </c>
      <c r="N11" s="6">
        <f t="shared" ca="1" si="3"/>
        <v>295.83750888725513</v>
      </c>
      <c r="O11" s="6">
        <f t="shared" ca="1" si="3"/>
        <v>302.72583788954995</v>
      </c>
      <c r="P11" s="6">
        <f t="shared" ca="1" si="3"/>
        <v>309.6527429299619</v>
      </c>
      <c r="Q11" s="6">
        <f t="shared" ca="1" si="3"/>
        <v>316.62586852709387</v>
      </c>
      <c r="R11" s="6">
        <f t="shared" ca="1" si="3"/>
        <v>323.61021863587126</v>
      </c>
      <c r="S11" s="6">
        <f t="shared" ca="1" si="3"/>
        <v>330.63327701282867</v>
      </c>
      <c r="T11" s="6">
        <f t="shared" ca="1" si="3"/>
        <v>337.69425042179626</v>
      </c>
      <c r="U11" s="6">
        <f t="shared" ca="1" si="3"/>
        <v>344.82050844870423</v>
      </c>
    </row>
    <row r="12" spans="1:21" x14ac:dyDescent="0.2">
      <c r="A12" s="4" t="s">
        <v>122</v>
      </c>
      <c r="B12" s="4"/>
      <c r="D12" s="17"/>
      <c r="E12" s="17">
        <f t="shared" ref="E12:U12" si="4">E$11/D$11-1</f>
        <v>3.7762673310225203E-2</v>
      </c>
      <c r="F12" s="17">
        <f t="shared" si="4"/>
        <v>3.3474677626285754E-2</v>
      </c>
      <c r="G12" s="16">
        <f t="shared" si="4"/>
        <v>2.7529962294640553E-2</v>
      </c>
      <c r="H12" s="16">
        <f t="shared" si="4"/>
        <v>3.3119824387526808E-2</v>
      </c>
      <c r="I12" s="16">
        <f t="shared" si="4"/>
        <v>3.3540658286457248E-2</v>
      </c>
      <c r="J12" s="16">
        <f t="shared" si="4"/>
        <v>2.7492885142028634E-2</v>
      </c>
      <c r="K12" s="16">
        <f t="shared" si="4"/>
        <v>2.4935607898764367E-2</v>
      </c>
      <c r="L12" s="10">
        <f t="shared" ca="1" si="4"/>
        <v>2.6369937220309003E-2</v>
      </c>
      <c r="M12" s="10">
        <f t="shared" ca="1" si="4"/>
        <v>2.5094052537427025E-2</v>
      </c>
      <c r="N12" s="10">
        <f t="shared" ca="1" si="4"/>
        <v>2.4076773854596834E-2</v>
      </c>
      <c r="O12" s="10">
        <f t="shared" ca="1" si="4"/>
        <v>2.3284163756665421E-2</v>
      </c>
      <c r="P12" s="10">
        <f t="shared" ca="1" si="4"/>
        <v>2.2881776754514194E-2</v>
      </c>
      <c r="Q12" s="10">
        <f t="shared" ca="1" si="4"/>
        <v>2.2519179165511716E-2</v>
      </c>
      <c r="R12" s="10">
        <f t="shared" ca="1" si="4"/>
        <v>2.2058684406513374E-2</v>
      </c>
      <c r="S12" s="10">
        <f t="shared" ca="1" si="4"/>
        <v>2.1702214492984817E-2</v>
      </c>
      <c r="T12" s="10">
        <f t="shared" ca="1" si="4"/>
        <v>2.1355906679331627E-2</v>
      </c>
      <c r="U12" s="10">
        <f t="shared" ca="1" si="4"/>
        <v>2.1102692799794376E-2</v>
      </c>
    </row>
    <row r="13" spans="1:21" ht="15" x14ac:dyDescent="0.25">
      <c r="A13" s="2" t="s">
        <v>124</v>
      </c>
      <c r="B13" s="4" t="str">
        <f>$B$11</f>
        <v>From Economic</v>
      </c>
      <c r="D13" s="14">
        <f>'Economic Forecasts'!M$7</f>
        <v>245.01900000000001</v>
      </c>
      <c r="E13" s="14">
        <f>'Economic Forecasts'!N$7</f>
        <v>257.73599999999999</v>
      </c>
      <c r="F13" s="14">
        <f>'Economic Forecasts'!O$7</f>
        <v>274.22000000000003</v>
      </c>
      <c r="G13" s="15">
        <f>'Economic Forecasts'!P$7</f>
        <v>291.02</v>
      </c>
      <c r="H13" s="15">
        <f>'Economic Forecasts'!Q$7</f>
        <v>304.59100000000001</v>
      </c>
      <c r="I13" s="15">
        <f>'Economic Forecasts'!R$7</f>
        <v>319.971</v>
      </c>
      <c r="J13" s="15">
        <f>'Economic Forecasts'!S$7</f>
        <v>334.721</v>
      </c>
      <c r="K13" s="15">
        <f>'Economic Forecasts'!T$7</f>
        <v>349.79199999999997</v>
      </c>
      <c r="L13" s="6">
        <f t="shared" ref="L13:U13" ca="1" si="5">K$13*(1+L$30)*L$11/K$11</f>
        <v>366.19631294176963</v>
      </c>
      <c r="M13" s="6">
        <f t="shared" ca="1" si="5"/>
        <v>382.89337570689736</v>
      </c>
      <c r="N13" s="6">
        <f t="shared" ca="1" si="5"/>
        <v>399.95445718269985</v>
      </c>
      <c r="O13" s="6">
        <f t="shared" ca="1" si="5"/>
        <v>417.45240350412911</v>
      </c>
      <c r="P13" s="6">
        <f t="shared" ca="1" si="5"/>
        <v>435.54454533088091</v>
      </c>
      <c r="Q13" s="6">
        <f t="shared" ca="1" si="5"/>
        <v>454.25970400138334</v>
      </c>
      <c r="R13" s="6">
        <f t="shared" ca="1" si="5"/>
        <v>473.56567695955698</v>
      </c>
      <c r="S13" s="6">
        <f t="shared" ca="1" si="5"/>
        <v>493.51996287459787</v>
      </c>
      <c r="T13" s="6">
        <f t="shared" ca="1" si="5"/>
        <v>514.14071972905776</v>
      </c>
      <c r="U13" s="6">
        <f t="shared" ca="1" si="5"/>
        <v>535.49028286123246</v>
      </c>
    </row>
    <row r="14" spans="1:21" x14ac:dyDescent="0.2">
      <c r="A14" s="4" t="str">
        <f>$A$12</f>
        <v>Annual percentage growth</v>
      </c>
      <c r="D14" s="17"/>
      <c r="E14" s="17">
        <f t="shared" ref="E14:U14" si="6">E$13/D$13-1</f>
        <v>5.1902097388365709E-2</v>
      </c>
      <c r="F14" s="17">
        <f t="shared" si="6"/>
        <v>6.3956917155539195E-2</v>
      </c>
      <c r="G14" s="16">
        <f t="shared" si="6"/>
        <v>6.1264677995769734E-2</v>
      </c>
      <c r="H14" s="16">
        <f t="shared" si="6"/>
        <v>4.6632533846471036E-2</v>
      </c>
      <c r="I14" s="16">
        <f t="shared" si="6"/>
        <v>5.0493941055382408E-2</v>
      </c>
      <c r="J14" s="16">
        <f t="shared" si="6"/>
        <v>4.6097927624690893E-2</v>
      </c>
      <c r="K14" s="16">
        <f t="shared" si="6"/>
        <v>4.5025558599550042E-2</v>
      </c>
      <c r="L14" s="10">
        <f t="shared" ca="1" si="6"/>
        <v>4.6897335964715126E-2</v>
      </c>
      <c r="M14" s="10">
        <f t="shared" ca="1" si="6"/>
        <v>4.5595933588175708E-2</v>
      </c>
      <c r="N14" s="10">
        <f t="shared" ca="1" si="6"/>
        <v>4.4558309331688806E-2</v>
      </c>
      <c r="O14" s="10">
        <f t="shared" ca="1" si="6"/>
        <v>4.3749847031798739E-2</v>
      </c>
      <c r="P14" s="10">
        <f t="shared" ca="1" si="6"/>
        <v>4.3339412289604473E-2</v>
      </c>
      <c r="Q14" s="10">
        <f t="shared" ca="1" si="6"/>
        <v>4.2969562748822021E-2</v>
      </c>
      <c r="R14" s="10">
        <f t="shared" ca="1" si="6"/>
        <v>4.2499858094643628E-2</v>
      </c>
      <c r="S14" s="10">
        <f t="shared" ca="1" si="6"/>
        <v>4.213625878284466E-2</v>
      </c>
      <c r="T14" s="10">
        <f t="shared" ca="1" si="6"/>
        <v>4.1783024812918512E-2</v>
      </c>
      <c r="U14" s="10">
        <f t="shared" ca="1" si="6"/>
        <v>4.1524746655789979E-2</v>
      </c>
    </row>
    <row r="15" spans="1:21" x14ac:dyDescent="0.2">
      <c r="A15" s="4" t="s">
        <v>279</v>
      </c>
      <c r="D15" s="14">
        <f t="shared" ref="D15:U15" si="7">1/D$13</f>
        <v>4.08131614282974E-3</v>
      </c>
      <c r="E15" s="14">
        <f t="shared" si="7"/>
        <v>3.8799391625539315E-3</v>
      </c>
      <c r="F15" s="14">
        <f t="shared" si="7"/>
        <v>3.6467070235577268E-3</v>
      </c>
      <c r="G15" s="15">
        <f t="shared" si="7"/>
        <v>3.4361899525805787E-3</v>
      </c>
      <c r="H15" s="15">
        <f t="shared" si="7"/>
        <v>3.2830910959286384E-3</v>
      </c>
      <c r="I15" s="15">
        <f t="shared" si="7"/>
        <v>3.1252832287926094E-3</v>
      </c>
      <c r="J15" s="15">
        <f t="shared" si="7"/>
        <v>2.9875627761628341E-3</v>
      </c>
      <c r="K15" s="15">
        <f t="shared" si="7"/>
        <v>2.8588418259994511E-3</v>
      </c>
      <c r="L15" s="6">
        <f t="shared" ca="1" si="7"/>
        <v>2.7307757196316012E-3</v>
      </c>
      <c r="M15" s="6">
        <f t="shared" ca="1" si="7"/>
        <v>2.6116931329872215E-3</v>
      </c>
      <c r="N15" s="6">
        <f t="shared" ca="1" si="7"/>
        <v>2.5002846750203822E-3</v>
      </c>
      <c r="O15" s="6">
        <f t="shared" ca="1" si="7"/>
        <v>2.3954826744460433E-3</v>
      </c>
      <c r="P15" s="6">
        <f t="shared" ca="1" si="7"/>
        <v>2.2959764063634528E-3</v>
      </c>
      <c r="Q15" s="6">
        <f t="shared" ca="1" si="7"/>
        <v>2.2013839026253463E-3</v>
      </c>
      <c r="R15" s="6">
        <f t="shared" ca="1" si="7"/>
        <v>2.111639522569118E-3</v>
      </c>
      <c r="S15" s="6">
        <f t="shared" ca="1" si="7"/>
        <v>2.0262604863546269E-3</v>
      </c>
      <c r="T15" s="6">
        <f t="shared" ca="1" si="7"/>
        <v>1.9449928037736065E-3</v>
      </c>
      <c r="U15" s="6">
        <f t="shared" ca="1" si="7"/>
        <v>1.8674475186679365E-3</v>
      </c>
    </row>
    <row r="16" spans="1:21" x14ac:dyDescent="0.2">
      <c r="A16" s="18" t="s">
        <v>278</v>
      </c>
      <c r="D16" s="17"/>
      <c r="E16" s="17"/>
      <c r="F16" s="17"/>
      <c r="G16" s="16"/>
      <c r="H16" s="16"/>
      <c r="I16" s="16"/>
      <c r="J16" s="16"/>
      <c r="K16" s="16"/>
      <c r="L16" s="10"/>
      <c r="M16" s="10"/>
      <c r="N16" s="10"/>
      <c r="O16" s="10"/>
      <c r="P16" s="10"/>
      <c r="Q16" s="10"/>
      <c r="R16" s="10"/>
      <c r="S16" s="10"/>
      <c r="T16" s="10"/>
      <c r="U16" s="10"/>
    </row>
    <row r="17" spans="1:21" ht="15" x14ac:dyDescent="0.25">
      <c r="A17" s="2" t="s">
        <v>281</v>
      </c>
      <c r="B17" s="4" t="str">
        <f>$B$11</f>
        <v>From Economic</v>
      </c>
      <c r="D17" s="14">
        <f>'Economic Forecasts'!M$8</f>
        <v>2.4748000000000001</v>
      </c>
      <c r="E17" s="14">
        <f>'Economic Forecasts'!N$8</f>
        <v>2.5265</v>
      </c>
      <c r="F17" s="14">
        <f>'Economic Forecasts'!O$8</f>
        <v>2.6505000000000001</v>
      </c>
      <c r="G17" s="15">
        <f>'Economic Forecasts'!P$8</f>
        <v>2.7376</v>
      </c>
      <c r="H17" s="15">
        <f>'Economic Forecasts'!Q$8</f>
        <v>2.79</v>
      </c>
      <c r="I17" s="15">
        <f>'Economic Forecasts'!R$8</f>
        <v>2.8365</v>
      </c>
      <c r="J17" s="15">
        <f>'Economic Forecasts'!S$8</f>
        <v>2.8789000000000002</v>
      </c>
      <c r="K17" s="15">
        <f>'Economic Forecasts'!T$8</f>
        <v>2.9175999999999997</v>
      </c>
      <c r="L17" s="6">
        <f ca="1">K$17*(1+K$18+MIN(OFFSET(Assumptions!$B$18,0,$C$1),ABS('Labour Force'!K$7-K$18))*SIGN('Labour Force'!K$7-K$18))</f>
        <v>2.9524438299489377</v>
      </c>
      <c r="M17" s="6">
        <f ca="1">L$17*(1+L$18+MIN(OFFSET(Assumptions!$B$18,0,$C$1),ABS('Labour Force'!L$7-L$18))*SIGN('Labour Force'!L$7-L$18))</f>
        <v>2.98327512127302</v>
      </c>
      <c r="N17" s="6">
        <f ca="1">M$17*(1+M$18+MIN(OFFSET(Assumptions!$B$18,0,$C$1),ABS('Labour Force'!M$7-M$18))*SIGN('Labour Force'!M$7-M$18))</f>
        <v>3.009953459816705</v>
      </c>
      <c r="O17" s="6">
        <f ca="1">N$17*(1+N$18+MIN(OFFSET(Assumptions!$B$18,0,$C$1),ABS('Labour Force'!N$7-N$18))*SIGN('Labour Force'!N$7-N$18))</f>
        <v>3.0345199104187381</v>
      </c>
      <c r="P17" s="6">
        <f ca="1">O$17*(1+O$18+MIN(OFFSET(Assumptions!$B$18,0,$C$1),ABS('Labour Force'!O$7-O$18))*SIGN('Labour Force'!O$7-O$18))</f>
        <v>3.058083859671004</v>
      </c>
      <c r="Q17" s="6">
        <f ca="1">P$17*(1+P$18+MIN(OFFSET(Assumptions!$B$18,0,$C$1),ABS('Labour Force'!P$7-P$18))*SIGN('Labour Force'!P$7-P$18))</f>
        <v>3.0807383231626555</v>
      </c>
      <c r="R17" s="6">
        <f ca="1">Q$17*(1+Q$18+MIN(OFFSET(Assumptions!$B$18,0,$C$1),ABS('Labour Force'!Q$7-Q$18))*SIGN('Labour Force'!Q$7-Q$18))</f>
        <v>3.1021629138643867</v>
      </c>
      <c r="S17" s="6">
        <f ca="1">R$17*(1+R$18+MIN(OFFSET(Assumptions!$B$18,0,$C$1),ABS('Labour Force'!R$7-R$18))*SIGN('Labour Force'!R$7-R$18))</f>
        <v>3.1226470136091189</v>
      </c>
      <c r="T17" s="6">
        <f ca="1">S$17*(1+S$18+MIN(OFFSET(Assumptions!$B$18,0,$C$1),ABS('Labour Force'!S$7-S$18))*SIGN('Labour Force'!S$7-S$18))</f>
        <v>3.1422009574623146</v>
      </c>
      <c r="U17" s="6">
        <f ca="1">T$17*(1+T$18+MIN(OFFSET(Assumptions!$B$18,0,$C$1),ABS('Labour Force'!T$7-T$18))*SIGN('Labour Force'!T$7-T$18))</f>
        <v>3.1610934571259728</v>
      </c>
    </row>
    <row r="18" spans="1:21" x14ac:dyDescent="0.2">
      <c r="A18" s="4" t="str">
        <f>$A$12</f>
        <v>Annual percentage growth</v>
      </c>
      <c r="D18" s="17"/>
      <c r="E18" s="17">
        <f t="shared" ref="E18:U18" si="8">E$17/D$17-1</f>
        <v>2.0890577016324574E-2</v>
      </c>
      <c r="F18" s="17">
        <f t="shared" si="8"/>
        <v>4.9079754601226933E-2</v>
      </c>
      <c r="G18" s="16">
        <f t="shared" si="8"/>
        <v>3.2861724202980502E-2</v>
      </c>
      <c r="H18" s="16">
        <f t="shared" si="8"/>
        <v>1.9140853302162419E-2</v>
      </c>
      <c r="I18" s="16">
        <f t="shared" si="8"/>
        <v>1.6666666666666607E-2</v>
      </c>
      <c r="J18" s="16">
        <f t="shared" si="8"/>
        <v>1.4947999294905756E-2</v>
      </c>
      <c r="K18" s="16">
        <f t="shared" si="8"/>
        <v>1.3442634339504433E-2</v>
      </c>
      <c r="L18" s="10">
        <f t="shared" ca="1" si="8"/>
        <v>1.1942634339504377E-2</v>
      </c>
      <c r="M18" s="10">
        <f t="shared" ca="1" si="8"/>
        <v>1.044263433950432E-2</v>
      </c>
      <c r="N18" s="10">
        <f t="shared" ca="1" si="8"/>
        <v>8.9426343395042629E-3</v>
      </c>
      <c r="O18" s="10">
        <f t="shared" ca="1" si="8"/>
        <v>8.1617376912961337E-3</v>
      </c>
      <c r="P18" s="10">
        <f t="shared" ca="1" si="8"/>
        <v>7.7652972950881249E-3</v>
      </c>
      <c r="Q18" s="10">
        <f t="shared" ca="1" si="8"/>
        <v>7.4080582911446591E-3</v>
      </c>
      <c r="R18" s="10">
        <f t="shared" ca="1" si="8"/>
        <v>6.9543688734123865E-3</v>
      </c>
      <c r="S18" s="10">
        <f t="shared" ca="1" si="8"/>
        <v>6.6031669881627675E-3</v>
      </c>
      <c r="T18" s="10">
        <f t="shared" ca="1" si="8"/>
        <v>6.2619770239722428E-3</v>
      </c>
      <c r="U18" s="10">
        <f t="shared" ca="1" si="8"/>
        <v>6.0125052214725638E-3</v>
      </c>
    </row>
    <row r="19" spans="1:21" ht="15" x14ac:dyDescent="0.25">
      <c r="A19" s="2" t="s">
        <v>282</v>
      </c>
      <c r="B19" s="4" t="str">
        <f>$B$11</f>
        <v>From Economic</v>
      </c>
      <c r="D19" s="14">
        <f>'Economic Forecasts'!M$9</f>
        <v>3.5855999999999999</v>
      </c>
      <c r="E19" s="14">
        <f>'Economic Forecasts'!N$9</f>
        <v>3.6730999999999998</v>
      </c>
      <c r="F19" s="14">
        <f>'Economic Forecasts'!O$9</f>
        <v>3.7694000000000001</v>
      </c>
      <c r="G19" s="15">
        <f>'Economic Forecasts'!P$9</f>
        <v>3.8553999999999999</v>
      </c>
      <c r="H19" s="15">
        <f>'Economic Forecasts'!Q$9</f>
        <v>3.9365000000000001</v>
      </c>
      <c r="I19" s="15">
        <f>'Economic Forecasts'!R$9</f>
        <v>4.0042999999999997</v>
      </c>
      <c r="J19" s="15">
        <f>'Economic Forecasts'!S$9</f>
        <v>4.0639000000000003</v>
      </c>
      <c r="K19" s="15">
        <f>'Economic Forecasts'!T$9</f>
        <v>4.1183999999999994</v>
      </c>
      <c r="L19" s="6">
        <f>K$19*(1+Population!S$207)</f>
        <v>4.1645395487283068</v>
      </c>
      <c r="M19" s="6">
        <f>L$19*(1+Population!T$207)</f>
        <v>4.2100820793579086</v>
      </c>
      <c r="N19" s="6">
        <f>M$19*(1+Population!U$207)</f>
        <v>4.2562614292927963</v>
      </c>
      <c r="O19" s="6">
        <f>N$19*(1+Population!V$207)</f>
        <v>4.3007790788529521</v>
      </c>
      <c r="P19" s="6">
        <f>O$19*(1+Population!W$207)</f>
        <v>4.3436051771334423</v>
      </c>
      <c r="Q19" s="6">
        <f>P$19*(1+Population!X$207)</f>
        <v>4.3851874877082953</v>
      </c>
      <c r="R19" s="6">
        <f>Q$19*(1+Population!Y$207)</f>
        <v>4.4243717755866809</v>
      </c>
      <c r="S19" s="6">
        <f>R$19*(1+Population!Z$207)</f>
        <v>4.4625212320939767</v>
      </c>
      <c r="T19" s="6">
        <f>S$19*(1+Population!AA$207)</f>
        <v>4.4998050123581486</v>
      </c>
      <c r="U19" s="6">
        <f>T$19*(1+Population!AB$207)</f>
        <v>4.5370191405108056</v>
      </c>
    </row>
    <row r="20" spans="1:21" x14ac:dyDescent="0.2">
      <c r="A20" s="4" t="str">
        <f>$A$12</f>
        <v>Annual percentage growth</v>
      </c>
      <c r="D20" s="17"/>
      <c r="E20" s="17">
        <f t="shared" ref="E20:U20" si="9">E$19/D$19-1</f>
        <v>2.440316822846933E-2</v>
      </c>
      <c r="F20" s="17">
        <f t="shared" si="9"/>
        <v>2.6217636328986549E-2</v>
      </c>
      <c r="G20" s="16">
        <f t="shared" si="9"/>
        <v>2.2815302170106522E-2</v>
      </c>
      <c r="H20" s="16">
        <f t="shared" si="9"/>
        <v>2.1035430824298373E-2</v>
      </c>
      <c r="I20" s="16">
        <f t="shared" si="9"/>
        <v>1.7223421821414897E-2</v>
      </c>
      <c r="J20" s="16">
        <f t="shared" si="9"/>
        <v>1.4883999700322281E-2</v>
      </c>
      <c r="K20" s="16">
        <f t="shared" si="9"/>
        <v>1.341076306011435E-2</v>
      </c>
      <c r="L20" s="10">
        <f t="shared" si="9"/>
        <v>1.1203270378862484E-2</v>
      </c>
      <c r="M20" s="10">
        <f t="shared" si="9"/>
        <v>1.0935790162806436E-2</v>
      </c>
      <c r="N20" s="10">
        <f t="shared" si="9"/>
        <v>1.096875288044985E-2</v>
      </c>
      <c r="O20" s="10">
        <f t="shared" si="9"/>
        <v>1.0459331575305209E-2</v>
      </c>
      <c r="P20" s="10">
        <f t="shared" si="9"/>
        <v>9.9577535826165242E-3</v>
      </c>
      <c r="Q20" s="10">
        <f t="shared" si="9"/>
        <v>9.5732252078895019E-3</v>
      </c>
      <c r="R20" s="10">
        <f t="shared" si="9"/>
        <v>8.9356014966792685E-3</v>
      </c>
      <c r="S20" s="10">
        <f t="shared" si="9"/>
        <v>8.6225702636024693E-3</v>
      </c>
      <c r="T20" s="10">
        <f t="shared" si="9"/>
        <v>8.3548689911054907E-3</v>
      </c>
      <c r="U20" s="10">
        <f t="shared" si="9"/>
        <v>8.270164607233621E-3</v>
      </c>
    </row>
    <row r="21" spans="1:21" ht="15" x14ac:dyDescent="0.25">
      <c r="A21" s="2" t="s">
        <v>283</v>
      </c>
      <c r="D21" s="17">
        <f t="shared" ref="D21:U21" si="10">D$17/D$19</f>
        <v>0.69020526550647032</v>
      </c>
      <c r="E21" s="17">
        <f t="shared" si="10"/>
        <v>0.68783861043804961</v>
      </c>
      <c r="F21" s="17">
        <f t="shared" si="10"/>
        <v>0.70316230699846127</v>
      </c>
      <c r="G21" s="16">
        <f t="shared" si="10"/>
        <v>0.7100689941380921</v>
      </c>
      <c r="H21" s="16">
        <f t="shared" si="10"/>
        <v>0.70875142893433252</v>
      </c>
      <c r="I21" s="16">
        <f t="shared" si="10"/>
        <v>0.7083635092275804</v>
      </c>
      <c r="J21" s="16">
        <f t="shared" si="10"/>
        <v>0.70840817933512146</v>
      </c>
      <c r="K21" s="16">
        <f t="shared" si="10"/>
        <v>0.70843045843045849</v>
      </c>
      <c r="L21" s="10">
        <f t="shared" ca="1" si="10"/>
        <v>0.70894844325599038</v>
      </c>
      <c r="M21" s="10">
        <f t="shared" ca="1" si="10"/>
        <v>0.70860260323665891</v>
      </c>
      <c r="N21" s="10">
        <f t="shared" ca="1" si="10"/>
        <v>0.70718246748222591</v>
      </c>
      <c r="O21" s="10">
        <f t="shared" ca="1" si="10"/>
        <v>0.70557446797013013</v>
      </c>
      <c r="P21" s="10">
        <f t="shared" ca="1" si="10"/>
        <v>0.70404277897310719</v>
      </c>
      <c r="Q21" s="10">
        <f t="shared" ca="1" si="10"/>
        <v>0.70253286360001299</v>
      </c>
      <c r="R21" s="10">
        <f t="shared" ca="1" si="10"/>
        <v>0.70115330971548684</v>
      </c>
      <c r="S21" s="10">
        <f t="shared" ca="1" si="10"/>
        <v>0.69974950284860826</v>
      </c>
      <c r="T21" s="10">
        <f t="shared" ca="1" si="10"/>
        <v>0.69829713706097374</v>
      </c>
      <c r="U21" s="10">
        <f t="shared" ca="1" si="10"/>
        <v>0.6967335510888053</v>
      </c>
    </row>
    <row r="22" spans="1:21" ht="15" x14ac:dyDescent="0.25">
      <c r="A22" s="2" t="s">
        <v>102</v>
      </c>
      <c r="B22" s="4" t="str">
        <f>$B$11</f>
        <v>From Economic</v>
      </c>
      <c r="D22" s="14">
        <f>'Economic Forecasts'!M$10</f>
        <v>4.5655000000000001</v>
      </c>
      <c r="E22" s="14">
        <f>'Economic Forecasts'!N$10</f>
        <v>4.6593</v>
      </c>
      <c r="F22" s="14">
        <f>'Economic Forecasts'!O$10</f>
        <v>4.7593999999999994</v>
      </c>
      <c r="G22" s="15">
        <f>'Economic Forecasts'!P$10</f>
        <v>4.8548999999999998</v>
      </c>
      <c r="H22" s="15">
        <f>'Economic Forecasts'!Q$10</f>
        <v>4.9488000000000003</v>
      </c>
      <c r="I22" s="15">
        <f>'Economic Forecasts'!R$10</f>
        <v>5.0283999999999995</v>
      </c>
      <c r="J22" s="15">
        <f>'Economic Forecasts'!S$10</f>
        <v>5.0968</v>
      </c>
      <c r="K22" s="15">
        <f>'Economic Forecasts'!T$10</f>
        <v>5.1581000000000001</v>
      </c>
      <c r="L22" s="6">
        <f>K$22*(1+Population!S$7)</f>
        <v>5.2066646611126437</v>
      </c>
      <c r="M22" s="6">
        <f>L$22*(1+Population!T$7)</f>
        <v>5.2547447860096552</v>
      </c>
      <c r="N22" s="6">
        <f>M$22*(1+Population!U$7)</f>
        <v>5.3024110362224812</v>
      </c>
      <c r="O22" s="6">
        <f>N$22*(1+Population!V$7)</f>
        <v>5.3494211436433048</v>
      </c>
      <c r="P22" s="6">
        <f>O$22*(1+Population!W$7)</f>
        <v>5.3955025566508343</v>
      </c>
      <c r="Q22" s="6">
        <f>P$22*(1+Population!X$7)</f>
        <v>5.4406956532630373</v>
      </c>
      <c r="R22" s="6">
        <f>Q$22*(1+Population!Y$7)</f>
        <v>5.4846875038406528</v>
      </c>
      <c r="S22" s="6">
        <f>R$22*(1+Population!Z$7)</f>
        <v>5.5273872578432472</v>
      </c>
      <c r="T22" s="6">
        <f>S$22*(1+Population!AA$7)</f>
        <v>5.5689362383337153</v>
      </c>
      <c r="U22" s="6">
        <f>T$22*(1+Population!AB$7)</f>
        <v>5.6089710431503335</v>
      </c>
    </row>
    <row r="23" spans="1:21" x14ac:dyDescent="0.2">
      <c r="A23" s="4" t="str">
        <f>$A$12</f>
        <v>Annual percentage growth</v>
      </c>
      <c r="D23" s="17"/>
      <c r="E23" s="17">
        <f t="shared" ref="E23:U23" si="11">E$22/D$22-1</f>
        <v>2.0545394808892725E-2</v>
      </c>
      <c r="F23" s="17">
        <f t="shared" si="11"/>
        <v>2.1483913892644591E-2</v>
      </c>
      <c r="G23" s="16">
        <f t="shared" si="11"/>
        <v>2.0065554481657477E-2</v>
      </c>
      <c r="H23" s="16">
        <f t="shared" si="11"/>
        <v>1.9341284063523645E-2</v>
      </c>
      <c r="I23" s="16">
        <f t="shared" si="11"/>
        <v>1.6084707403814846E-2</v>
      </c>
      <c r="J23" s="16">
        <f t="shared" si="11"/>
        <v>1.3602736456924669E-2</v>
      </c>
      <c r="K23" s="16">
        <f t="shared" si="11"/>
        <v>1.2027154292889586E-2</v>
      </c>
      <c r="L23" s="10">
        <f t="shared" si="11"/>
        <v>9.4152228752144573E-3</v>
      </c>
      <c r="M23" s="10">
        <f t="shared" si="11"/>
        <v>9.2343425256691258E-3</v>
      </c>
      <c r="N23" s="10">
        <f t="shared" si="11"/>
        <v>9.0710875892077159E-3</v>
      </c>
      <c r="O23" s="10">
        <f t="shared" si="11"/>
        <v>8.8657984263540435E-3</v>
      </c>
      <c r="P23" s="10">
        <f t="shared" si="11"/>
        <v>8.6142802688637943E-3</v>
      </c>
      <c r="Q23" s="10">
        <f t="shared" si="11"/>
        <v>8.3760680562545708E-3</v>
      </c>
      <c r="R23" s="10">
        <f t="shared" si="11"/>
        <v>8.0857032595145206E-3</v>
      </c>
      <c r="S23" s="10">
        <f t="shared" si="11"/>
        <v>7.7852665211453065E-3</v>
      </c>
      <c r="T23" s="10">
        <f t="shared" si="11"/>
        <v>7.516929527872529E-3</v>
      </c>
      <c r="U23" s="10">
        <f t="shared" si="11"/>
        <v>7.188950116009396E-3</v>
      </c>
    </row>
    <row r="24" spans="1:21" ht="15" x14ac:dyDescent="0.25">
      <c r="A24" s="2" t="s">
        <v>108</v>
      </c>
      <c r="B24" s="4" t="str">
        <f>$B$11</f>
        <v>From Economic</v>
      </c>
      <c r="D24" s="17">
        <f>'Economic Forecasts'!M$11</f>
        <v>5.4000000000000006E-2</v>
      </c>
      <c r="E24" s="17">
        <f>'Economic Forecasts'!N$11</f>
        <v>5.2000000000000005E-2</v>
      </c>
      <c r="F24" s="17">
        <f>'Economic Forecasts'!O$11</f>
        <v>4.9800000000000004E-2</v>
      </c>
      <c r="G24" s="16">
        <f>'Economic Forecasts'!P$11</f>
        <v>4.5400000000000003E-2</v>
      </c>
      <c r="H24" s="16">
        <f>'Economic Forecasts'!Q$11</f>
        <v>4.3499999999999997E-2</v>
      </c>
      <c r="I24" s="16">
        <f>'Economic Forecasts'!R$11</f>
        <v>4.1100000000000005E-2</v>
      </c>
      <c r="J24" s="16">
        <f>'Economic Forecasts'!S$11</f>
        <v>4.0999999999999995E-2</v>
      </c>
      <c r="K24" s="16">
        <f>'Economic Forecasts'!T$11</f>
        <v>4.1599999999999998E-2</v>
      </c>
      <c r="L24" s="10">
        <f ca="1">SUM(K$24,MIN(OFFSET(Assumptions!$B$19,0,$C$1),ABS(OFFSET(Assumptions!$B$12,0,$C$1)-K$24))*SIGN(OFFSET(Assumptions!$B$12,0,$C$1)-K$24))</f>
        <v>4.2500000000000003E-2</v>
      </c>
      <c r="M24" s="10">
        <f ca="1">SUM(L$24,MIN(OFFSET(Assumptions!$B$19,0,$C$1),ABS(OFFSET(Assumptions!$B$12,0,$C$1)-L$24))*SIGN(OFFSET(Assumptions!$B$12,0,$C$1)-L$24))</f>
        <v>4.2500000000000003E-2</v>
      </c>
      <c r="N24" s="10">
        <f ca="1">SUM(M$24,MIN(OFFSET(Assumptions!$B$19,0,$C$1),ABS(OFFSET(Assumptions!$B$12,0,$C$1)-M$24))*SIGN(OFFSET(Assumptions!$B$12,0,$C$1)-M$24))</f>
        <v>4.2500000000000003E-2</v>
      </c>
      <c r="O24" s="10">
        <f ca="1">SUM(N$24,MIN(OFFSET(Assumptions!$B$19,0,$C$1),ABS(OFFSET(Assumptions!$B$12,0,$C$1)-N$24))*SIGN(OFFSET(Assumptions!$B$12,0,$C$1)-N$24))</f>
        <v>4.2500000000000003E-2</v>
      </c>
      <c r="P24" s="10">
        <f ca="1">SUM(O$24,MIN(OFFSET(Assumptions!$B$19,0,$C$1),ABS(OFFSET(Assumptions!$B$12,0,$C$1)-O$24))*SIGN(OFFSET(Assumptions!$B$12,0,$C$1)-O$24))</f>
        <v>4.2500000000000003E-2</v>
      </c>
      <c r="Q24" s="10">
        <f ca="1">SUM(P$24,MIN(OFFSET(Assumptions!$B$19,0,$C$1),ABS(OFFSET(Assumptions!$B$12,0,$C$1)-P$24))*SIGN(OFFSET(Assumptions!$B$12,0,$C$1)-P$24))</f>
        <v>4.2500000000000003E-2</v>
      </c>
      <c r="R24" s="10">
        <f ca="1">SUM(Q$24,MIN(OFFSET(Assumptions!$B$19,0,$C$1),ABS(OFFSET(Assumptions!$B$12,0,$C$1)-Q$24))*SIGN(OFFSET(Assumptions!$B$12,0,$C$1)-Q$24))</f>
        <v>4.2500000000000003E-2</v>
      </c>
      <c r="S24" s="10">
        <f ca="1">SUM(R$24,MIN(OFFSET(Assumptions!$B$19,0,$C$1),ABS(OFFSET(Assumptions!$B$12,0,$C$1)-R$24))*SIGN(OFFSET(Assumptions!$B$12,0,$C$1)-R$24))</f>
        <v>4.2500000000000003E-2</v>
      </c>
      <c r="T24" s="10">
        <f ca="1">SUM(S$24,MIN(OFFSET(Assumptions!$B$19,0,$C$1),ABS(OFFSET(Assumptions!$B$12,0,$C$1)-S$24))*SIGN(OFFSET(Assumptions!$B$12,0,$C$1)-S$24))</f>
        <v>4.2500000000000003E-2</v>
      </c>
      <c r="U24" s="10">
        <f ca="1">SUM(T$24,MIN(OFFSET(Assumptions!$B$19,0,$C$1),ABS(OFFSET(Assumptions!$B$12,0,$C$1)-T$24))*SIGN(OFFSET(Assumptions!$B$12,0,$C$1)-T$24))</f>
        <v>4.2500000000000003E-2</v>
      </c>
    </row>
    <row r="25" spans="1:21" ht="15" x14ac:dyDescent="0.25">
      <c r="A25" s="2" t="s">
        <v>109</v>
      </c>
      <c r="B25" s="4" t="str">
        <f>$B$11</f>
        <v>From Economic</v>
      </c>
      <c r="D25" s="20">
        <f>'Economic Forecasts'!M$12</f>
        <v>33.49</v>
      </c>
      <c r="E25" s="20">
        <f>'Economic Forecasts'!N$12</f>
        <v>33.71</v>
      </c>
      <c r="F25" s="20">
        <f>'Economic Forecasts'!O$12</f>
        <v>33.67</v>
      </c>
      <c r="G25" s="21">
        <f>'Economic Forecasts'!P$12</f>
        <v>33.630000000000003</v>
      </c>
      <c r="H25" s="21">
        <f>'Economic Forecasts'!Q$12</f>
        <v>33.619999999999997</v>
      </c>
      <c r="I25" s="21">
        <f>'Economic Forecasts'!R$12</f>
        <v>33.61</v>
      </c>
      <c r="J25" s="21">
        <f>'Economic Forecasts'!S$12</f>
        <v>33.56</v>
      </c>
      <c r="K25" s="21">
        <f>'Economic Forecasts'!T$12</f>
        <v>33.51</v>
      </c>
      <c r="L25" s="9">
        <f ca="1">SUM(K$25,MIN(OFFSET(Assumptions!$B$20,0,$C$1),ABS(OFFSET(Assumptions!$B$13,0,$C$1)-K$25))*SIGN(OFFSET(Assumptions!$B$13,0,$C$1)-K$25))</f>
        <v>33.549999999999997</v>
      </c>
      <c r="M25" s="9">
        <f ca="1">SUM(L$25,MIN(OFFSET(Assumptions!$B$20,0,$C$1),ABS(OFFSET(Assumptions!$B$13,0,$C$1)-L$25))*SIGN(OFFSET(Assumptions!$B$13,0,$C$1)-L$25))</f>
        <v>33.549999999999997</v>
      </c>
      <c r="N25" s="9">
        <f ca="1">SUM(M$25,MIN(OFFSET(Assumptions!$B$20,0,$C$1),ABS(OFFSET(Assumptions!$B$13,0,$C$1)-M$25))*SIGN(OFFSET(Assumptions!$B$13,0,$C$1)-M$25))</f>
        <v>33.549999999999997</v>
      </c>
      <c r="O25" s="9">
        <f ca="1">SUM(N$25,MIN(OFFSET(Assumptions!$B$20,0,$C$1),ABS(OFFSET(Assumptions!$B$13,0,$C$1)-N$25))*SIGN(OFFSET(Assumptions!$B$13,0,$C$1)-N$25))</f>
        <v>33.549999999999997</v>
      </c>
      <c r="P25" s="9">
        <f ca="1">SUM(O$25,MIN(OFFSET(Assumptions!$B$20,0,$C$1),ABS(OFFSET(Assumptions!$B$13,0,$C$1)-O$25))*SIGN(OFFSET(Assumptions!$B$13,0,$C$1)-O$25))</f>
        <v>33.549999999999997</v>
      </c>
      <c r="Q25" s="9">
        <f ca="1">SUM(P$25,MIN(OFFSET(Assumptions!$B$20,0,$C$1),ABS(OFFSET(Assumptions!$B$13,0,$C$1)-P$25))*SIGN(OFFSET(Assumptions!$B$13,0,$C$1)-P$25))</f>
        <v>33.549999999999997</v>
      </c>
      <c r="R25" s="9">
        <f ca="1">SUM(Q$25,MIN(OFFSET(Assumptions!$B$20,0,$C$1),ABS(OFFSET(Assumptions!$B$13,0,$C$1)-Q$25))*SIGN(OFFSET(Assumptions!$B$13,0,$C$1)-Q$25))</f>
        <v>33.549999999999997</v>
      </c>
      <c r="S25" s="9">
        <f ca="1">SUM(R$25,MIN(OFFSET(Assumptions!$B$20,0,$C$1),ABS(OFFSET(Assumptions!$B$13,0,$C$1)-R$25))*SIGN(OFFSET(Assumptions!$B$13,0,$C$1)-R$25))</f>
        <v>33.549999999999997</v>
      </c>
      <c r="T25" s="9">
        <f ca="1">SUM(S$25,MIN(OFFSET(Assumptions!$B$20,0,$C$1),ABS(OFFSET(Assumptions!$B$13,0,$C$1)-S$25))*SIGN(OFFSET(Assumptions!$B$13,0,$C$1)-S$25))</f>
        <v>33.549999999999997</v>
      </c>
      <c r="U25" s="9">
        <f ca="1">SUM(T$25,MIN(OFFSET(Assumptions!$B$20,0,$C$1),ABS(OFFSET(Assumptions!$B$13,0,$C$1)-T$25))*SIGN(OFFSET(Assumptions!$B$13,0,$C$1)-T$25))</f>
        <v>33.549999999999997</v>
      </c>
    </row>
    <row r="26" spans="1:21" ht="15" x14ac:dyDescent="0.25">
      <c r="A26" s="2" t="s">
        <v>103</v>
      </c>
      <c r="B26" s="4" t="str">
        <f t="shared" ref="B26:B31" si="12">$B$11</f>
        <v>From Economic</v>
      </c>
      <c r="D26" s="17">
        <f>'Economic Forecasts'!M$13</f>
        <v>1.2E-2</v>
      </c>
      <c r="E26" s="17">
        <f>'Economic Forecasts'!N$13</f>
        <v>7.7000000000000002E-3</v>
      </c>
      <c r="F26" s="17">
        <f>'Economic Forecasts'!O$13</f>
        <v>-1.6E-2</v>
      </c>
      <c r="G26" s="16">
        <f>'Economic Forecasts'!P$13</f>
        <v>-8.8000000000000005E-3</v>
      </c>
      <c r="H26" s="16">
        <f>'Economic Forecasts'!Q$13</f>
        <v>1.21E-2</v>
      </c>
      <c r="I26" s="16">
        <f>'Economic Forecasts'!R$13</f>
        <v>1.44E-2</v>
      </c>
      <c r="J26" s="16">
        <f>'Economic Forecasts'!S$13</f>
        <v>1.3599999999999999E-2</v>
      </c>
      <c r="K26" s="16">
        <f>'Economic Forecasts'!T$13</f>
        <v>1.35E-2</v>
      </c>
      <c r="L26" s="10">
        <f ca="1">SUM(K$26,MIN(OFFSET(Assumptions!$B$21,0,$C$1),ABS(OFFSET(Assumptions!$B$14,0,$C$1)-K$26))*SIGN(OFFSET(Assumptions!$B$14,0,$C$1)-K$26))</f>
        <v>1.4E-2</v>
      </c>
      <c r="M26" s="10">
        <f ca="1">SUM(L$26,MIN(OFFSET(Assumptions!$B$21,0,$C$1),ABS(OFFSET(Assumptions!$B$14,0,$C$1)-L$26))*SIGN(OFFSET(Assumptions!$B$14,0,$C$1)-L$26))</f>
        <v>1.4500000000000001E-2</v>
      </c>
      <c r="N26" s="10">
        <f ca="1">SUM(M$26,MIN(OFFSET(Assumptions!$B$21,0,$C$1),ABS(OFFSET(Assumptions!$B$14,0,$C$1)-M$26))*SIGN(OFFSET(Assumptions!$B$14,0,$C$1)-M$26))</f>
        <v>1.4999999999999999E-2</v>
      </c>
      <c r="O26" s="10">
        <f ca="1">SUM(N$26,MIN(OFFSET(Assumptions!$B$21,0,$C$1),ABS(OFFSET(Assumptions!$B$14,0,$C$1)-N$26))*SIGN(OFFSET(Assumptions!$B$14,0,$C$1)-N$26))</f>
        <v>1.4999999999999999E-2</v>
      </c>
      <c r="P26" s="10">
        <f ca="1">SUM(O$26,MIN(OFFSET(Assumptions!$B$21,0,$C$1),ABS(OFFSET(Assumptions!$B$14,0,$C$1)-O$26))*SIGN(OFFSET(Assumptions!$B$14,0,$C$1)-O$26))</f>
        <v>1.4999999999999999E-2</v>
      </c>
      <c r="Q26" s="10">
        <f ca="1">SUM(P$26,MIN(OFFSET(Assumptions!$B$21,0,$C$1),ABS(OFFSET(Assumptions!$B$14,0,$C$1)-P$26))*SIGN(OFFSET(Assumptions!$B$14,0,$C$1)-P$26))</f>
        <v>1.4999999999999999E-2</v>
      </c>
      <c r="R26" s="10">
        <f ca="1">SUM(Q$26,MIN(OFFSET(Assumptions!$B$21,0,$C$1),ABS(OFFSET(Assumptions!$B$14,0,$C$1)-Q$26))*SIGN(OFFSET(Assumptions!$B$14,0,$C$1)-Q$26))</f>
        <v>1.4999999999999999E-2</v>
      </c>
      <c r="S26" s="10">
        <f ca="1">SUM(R$26,MIN(OFFSET(Assumptions!$B$21,0,$C$1),ABS(OFFSET(Assumptions!$B$14,0,$C$1)-R$26))*SIGN(OFFSET(Assumptions!$B$14,0,$C$1)-R$26))</f>
        <v>1.4999999999999999E-2</v>
      </c>
      <c r="T26" s="10">
        <f ca="1">SUM(S$26,MIN(OFFSET(Assumptions!$B$21,0,$C$1),ABS(OFFSET(Assumptions!$B$14,0,$C$1)-S$26))*SIGN(OFFSET(Assumptions!$B$14,0,$C$1)-S$26))</f>
        <v>1.4999999999999999E-2</v>
      </c>
      <c r="U26" s="10">
        <f ca="1">SUM(T$26,MIN(OFFSET(Assumptions!$B$21,0,$C$1),ABS(OFFSET(Assumptions!$B$14,0,$C$1)-T$26))*SIGN(OFFSET(Assumptions!$B$14,0,$C$1)-T$26))</f>
        <v>1.4999999999999999E-2</v>
      </c>
    </row>
    <row r="27" spans="1:21" ht="15" x14ac:dyDescent="0.25">
      <c r="A27" s="2" t="s">
        <v>105</v>
      </c>
      <c r="B27" s="4" t="str">
        <f t="shared" si="12"/>
        <v>From Economic</v>
      </c>
      <c r="D27" s="17">
        <f>'Economic Forecasts'!M$15</f>
        <v>2.4400000000000002E-2</v>
      </c>
      <c r="E27" s="17">
        <f>'Economic Forecasts'!N$15</f>
        <v>2.2499999999999999E-2</v>
      </c>
      <c r="F27" s="17">
        <f>'Economic Forecasts'!O$15</f>
        <v>1.4999999999999999E-2</v>
      </c>
      <c r="G27" s="16">
        <f>'Economic Forecasts'!P$15</f>
        <v>2.9700000000000001E-2</v>
      </c>
      <c r="H27" s="16">
        <f>'Economic Forecasts'!Q$15</f>
        <v>2.8400000000000002E-2</v>
      </c>
      <c r="I27" s="16">
        <f>'Economic Forecasts'!R$15</f>
        <v>2.9399999999999999E-2</v>
      </c>
      <c r="J27" s="16">
        <f>'Economic Forecasts'!S$15</f>
        <v>3.2500000000000001E-2</v>
      </c>
      <c r="K27" s="16">
        <f>'Economic Forecasts'!T$15</f>
        <v>3.3599999999999998E-2</v>
      </c>
      <c r="L27" s="10">
        <f t="shared" ref="L27:U27" ca="1" si="13">(1+L$26)*(1+L$30)-1</f>
        <v>3.4280000000000088E-2</v>
      </c>
      <c r="M27" s="10">
        <f t="shared" ca="1" si="13"/>
        <v>3.4789999999999877E-2</v>
      </c>
      <c r="N27" s="10">
        <f t="shared" ca="1" si="13"/>
        <v>3.5299999999999887E-2</v>
      </c>
      <c r="O27" s="10">
        <f t="shared" ca="1" si="13"/>
        <v>3.5299999999999887E-2</v>
      </c>
      <c r="P27" s="10">
        <f t="shared" ca="1" si="13"/>
        <v>3.5299999999999887E-2</v>
      </c>
      <c r="Q27" s="10">
        <f t="shared" ca="1" si="13"/>
        <v>3.5299999999999887E-2</v>
      </c>
      <c r="R27" s="10">
        <f t="shared" ca="1" si="13"/>
        <v>3.5299999999999887E-2</v>
      </c>
      <c r="S27" s="10">
        <f t="shared" ca="1" si="13"/>
        <v>3.5299999999999887E-2</v>
      </c>
      <c r="T27" s="10">
        <f t="shared" ca="1" si="13"/>
        <v>3.5299999999999887E-2</v>
      </c>
      <c r="U27" s="10">
        <f t="shared" ca="1" si="13"/>
        <v>3.5299999999999887E-2</v>
      </c>
    </row>
    <row r="28" spans="1:21" x14ac:dyDescent="0.2">
      <c r="A28" s="18" t="s">
        <v>280</v>
      </c>
      <c r="B28" s="4"/>
      <c r="D28" s="17"/>
      <c r="E28" s="17"/>
      <c r="F28" s="17"/>
      <c r="G28" s="16"/>
      <c r="H28" s="16"/>
      <c r="I28" s="16"/>
      <c r="J28" s="16"/>
      <c r="K28" s="16"/>
      <c r="L28" s="10"/>
      <c r="M28" s="10"/>
      <c r="N28" s="10"/>
      <c r="O28" s="10"/>
      <c r="P28" s="10"/>
      <c r="Q28" s="10"/>
      <c r="R28" s="10"/>
      <c r="S28" s="10"/>
      <c r="T28" s="10"/>
      <c r="U28" s="10"/>
    </row>
    <row r="29" spans="1:21" ht="15" x14ac:dyDescent="0.25">
      <c r="A29" s="2" t="s">
        <v>284</v>
      </c>
      <c r="B29" s="4" t="str">
        <f t="shared" si="12"/>
        <v>From Economic</v>
      </c>
      <c r="D29" s="22">
        <f>'Economic Forecasts'!M$14</f>
        <v>979</v>
      </c>
      <c r="E29" s="22">
        <f>'Economic Forecasts'!N$14</f>
        <v>983</v>
      </c>
      <c r="F29" s="22">
        <f>'Economic Forecasts'!O$14</f>
        <v>1000</v>
      </c>
      <c r="G29" s="23">
        <f>'Economic Forecasts'!P$14</f>
        <v>1014</v>
      </c>
      <c r="H29" s="23">
        <f>'Economic Forecasts'!Q$14</f>
        <v>1029</v>
      </c>
      <c r="I29" s="23">
        <f>'Economic Forecasts'!R$14</f>
        <v>1047</v>
      </c>
      <c r="J29" s="23">
        <f>'Economic Forecasts'!S$14</f>
        <v>1068</v>
      </c>
      <c r="K29" s="23">
        <f>'Economic Forecasts'!T$14</f>
        <v>1089</v>
      </c>
      <c r="L29" s="3">
        <f ca="1">K$29*(1+K$30+MIN(OFFSET(Assumptions!$B$22,0,$C$1),ABS(OFFSET(Assumptions!$B$15,0,$C$1)-K$30))*SIGN(OFFSET(Assumptions!$B$15,0,$C$1)-K$30))</f>
        <v>1110.78</v>
      </c>
      <c r="M29" s="3">
        <f ca="1">L$29*(1+L$30+MIN(OFFSET(Assumptions!$B$22,0,$C$1),ABS(OFFSET(Assumptions!$B$15,0,$C$1)-L$30))*SIGN(OFFSET(Assumptions!$B$15,0,$C$1)-L$30))</f>
        <v>1132.9956</v>
      </c>
      <c r="N29" s="3">
        <f ca="1">M$29*(1+M$30+MIN(OFFSET(Assumptions!$B$22,0,$C$1),ABS(OFFSET(Assumptions!$B$15,0,$C$1)-M$30))*SIGN(OFFSET(Assumptions!$B$15,0,$C$1)-M$30))</f>
        <v>1155.655512</v>
      </c>
      <c r="O29" s="3">
        <f ca="1">N$29*(1+N$30+MIN(OFFSET(Assumptions!$B$22,0,$C$1),ABS(OFFSET(Assumptions!$B$15,0,$C$1)-N$30))*SIGN(OFFSET(Assumptions!$B$15,0,$C$1)-N$30))</f>
        <v>1178.76862224</v>
      </c>
      <c r="P29" s="3">
        <f ca="1">O$29*(1+O$30+MIN(OFFSET(Assumptions!$B$22,0,$C$1),ABS(OFFSET(Assumptions!$B$15,0,$C$1)-O$30))*SIGN(OFFSET(Assumptions!$B$15,0,$C$1)-O$30))</f>
        <v>1202.3439946848</v>
      </c>
      <c r="Q29" s="3">
        <f ca="1">P$29*(1+P$30+MIN(OFFSET(Assumptions!$B$22,0,$C$1),ABS(OFFSET(Assumptions!$B$15,0,$C$1)-P$30))*SIGN(OFFSET(Assumptions!$B$15,0,$C$1)-P$30))</f>
        <v>1226.3908745784961</v>
      </c>
      <c r="R29" s="3">
        <f ca="1">Q$29*(1+Q$30+MIN(OFFSET(Assumptions!$B$22,0,$C$1),ABS(OFFSET(Assumptions!$B$15,0,$C$1)-Q$30))*SIGN(OFFSET(Assumptions!$B$15,0,$C$1)-Q$30))</f>
        <v>1250.9186920700661</v>
      </c>
      <c r="S29" s="3">
        <f ca="1">R$29*(1+R$30+MIN(OFFSET(Assumptions!$B$22,0,$C$1),ABS(OFFSET(Assumptions!$B$15,0,$C$1)-R$30))*SIGN(OFFSET(Assumptions!$B$15,0,$C$1)-R$30))</f>
        <v>1275.9370659114675</v>
      </c>
      <c r="T29" s="3">
        <f ca="1">S$29*(1+S$30+MIN(OFFSET(Assumptions!$B$22,0,$C$1),ABS(OFFSET(Assumptions!$B$15,0,$C$1)-S$30))*SIGN(OFFSET(Assumptions!$B$15,0,$C$1)-S$30))</f>
        <v>1301.4558072296968</v>
      </c>
      <c r="U29" s="3">
        <f ca="1">T$29*(1+T$30+MIN(OFFSET(Assumptions!$B$22,0,$C$1),ABS(OFFSET(Assumptions!$B$15,0,$C$1)-T$30))*SIGN(OFFSET(Assumptions!$B$15,0,$C$1)-T$30))</f>
        <v>1327.4849233742907</v>
      </c>
    </row>
    <row r="30" spans="1:21" x14ac:dyDescent="0.2">
      <c r="A30" s="4" t="str">
        <f>$A$12</f>
        <v>Annual percentage growth</v>
      </c>
      <c r="D30" s="17"/>
      <c r="E30" s="17">
        <f t="shared" ref="E30:U30" si="14">E$29/D$29-1</f>
        <v>4.0858018386107364E-3</v>
      </c>
      <c r="F30" s="17">
        <f t="shared" si="14"/>
        <v>1.7293997965412089E-2</v>
      </c>
      <c r="G30" s="16">
        <f t="shared" si="14"/>
        <v>1.4000000000000012E-2</v>
      </c>
      <c r="H30" s="16">
        <f t="shared" si="14"/>
        <v>1.4792899408283988E-2</v>
      </c>
      <c r="I30" s="16">
        <f t="shared" si="14"/>
        <v>1.7492711370262315E-2</v>
      </c>
      <c r="J30" s="16">
        <f t="shared" si="14"/>
        <v>2.005730659025784E-2</v>
      </c>
      <c r="K30" s="16">
        <f t="shared" si="14"/>
        <v>1.9662921348314599E-2</v>
      </c>
      <c r="L30" s="10">
        <f t="shared" ca="1" si="14"/>
        <v>2.0000000000000018E-2</v>
      </c>
      <c r="M30" s="10">
        <f t="shared" ca="1" si="14"/>
        <v>2.0000000000000018E-2</v>
      </c>
      <c r="N30" s="10">
        <f t="shared" ca="1" si="14"/>
        <v>2.0000000000000018E-2</v>
      </c>
      <c r="O30" s="10">
        <f t="shared" ca="1" si="14"/>
        <v>2.0000000000000018E-2</v>
      </c>
      <c r="P30" s="10">
        <f t="shared" ca="1" si="14"/>
        <v>2.0000000000000018E-2</v>
      </c>
      <c r="Q30" s="10">
        <f t="shared" ca="1" si="14"/>
        <v>2.0000000000000018E-2</v>
      </c>
      <c r="R30" s="10">
        <f t="shared" ca="1" si="14"/>
        <v>2.0000000000000018E-2</v>
      </c>
      <c r="S30" s="10">
        <f t="shared" ca="1" si="14"/>
        <v>2.0000000000000018E-2</v>
      </c>
      <c r="T30" s="10">
        <f t="shared" ca="1" si="14"/>
        <v>2.0000000000000018E-2</v>
      </c>
      <c r="U30" s="10">
        <f t="shared" ca="1" si="14"/>
        <v>2.0000000000000018E-2</v>
      </c>
    </row>
    <row r="31" spans="1:21" ht="15" x14ac:dyDescent="0.25">
      <c r="A31" s="2" t="s">
        <v>106</v>
      </c>
      <c r="B31" s="4" t="str">
        <f t="shared" si="12"/>
        <v>From Economic</v>
      </c>
      <c r="D31" s="17">
        <f>'Economic Forecasts'!M$16</f>
        <v>3.7699999999999997E-2</v>
      </c>
      <c r="E31" s="17">
        <f>'Economic Forecasts'!N$16</f>
        <v>3.1600000000000003E-2</v>
      </c>
      <c r="F31" s="17">
        <f>'Economic Forecasts'!O$16</f>
        <v>2.86E-2</v>
      </c>
      <c r="G31" s="16">
        <f>'Economic Forecasts'!P$16</f>
        <v>2.87E-2</v>
      </c>
      <c r="H31" s="16">
        <f>'Economic Forecasts'!Q$16</f>
        <v>3.1699999999999999E-2</v>
      </c>
      <c r="I31" s="16">
        <f>'Economic Forecasts'!R$16</f>
        <v>3.7499999999999999E-2</v>
      </c>
      <c r="J31" s="16">
        <f>'Economic Forecasts'!S$16</f>
        <v>4.1299999999999996E-2</v>
      </c>
      <c r="K31" s="16">
        <f>'Economic Forecasts'!T$16</f>
        <v>4.2900000000000001E-2</v>
      </c>
      <c r="L31" s="10">
        <f ca="1">SUM(K$31,MIN(OFFSET(Assumptions!$B$23,0,$C$1),ABS(OFFSET(Assumptions!$B$16,0,$C$1)-K$31))*SIGN(OFFSET(Assumptions!$B$16,0,$C$1)-K$31))</f>
        <v>4.4900000000000002E-2</v>
      </c>
      <c r="M31" s="10">
        <f ca="1">SUM(L$31,MIN(OFFSET(Assumptions!$B$23,0,$C$1),ABS(OFFSET(Assumptions!$B$16,0,$C$1)-L$31))*SIGN(OFFSET(Assumptions!$B$16,0,$C$1)-L$31))</f>
        <v>4.6900000000000004E-2</v>
      </c>
      <c r="N31" s="10">
        <f ca="1">SUM(M$31,MIN(OFFSET(Assumptions!$B$23,0,$C$1),ABS(OFFSET(Assumptions!$B$16,0,$C$1)-M$31))*SIGN(OFFSET(Assumptions!$B$16,0,$C$1)-M$31))</f>
        <v>4.8900000000000006E-2</v>
      </c>
      <c r="O31" s="10">
        <f ca="1">SUM(N$31,MIN(OFFSET(Assumptions!$B$23,0,$C$1),ABS(OFFSET(Assumptions!$B$16,0,$C$1)-N$31))*SIGN(OFFSET(Assumptions!$B$16,0,$C$1)-N$31))</f>
        <v>5.0900000000000008E-2</v>
      </c>
      <c r="P31" s="10">
        <f ca="1">SUM(O$31,MIN(OFFSET(Assumptions!$B$23,0,$C$1),ABS(OFFSET(Assumptions!$B$16,0,$C$1)-O$31))*SIGN(OFFSET(Assumptions!$B$16,0,$C$1)-O$31))</f>
        <v>5.290000000000001E-2</v>
      </c>
      <c r="Q31" s="10">
        <f ca="1">SUM(P$31,MIN(OFFSET(Assumptions!$B$23,0,$C$1),ABS(OFFSET(Assumptions!$B$16,0,$C$1)-P$31))*SIGN(OFFSET(Assumptions!$B$16,0,$C$1)-P$31))</f>
        <v>5.2999999999999999E-2</v>
      </c>
      <c r="R31" s="10">
        <f ca="1">SUM(Q$31,MIN(OFFSET(Assumptions!$B$23,0,$C$1),ABS(OFFSET(Assumptions!$B$16,0,$C$1)-Q$31))*SIGN(OFFSET(Assumptions!$B$16,0,$C$1)-Q$31))</f>
        <v>5.2999999999999999E-2</v>
      </c>
      <c r="S31" s="10">
        <f ca="1">SUM(R$31,MIN(OFFSET(Assumptions!$B$23,0,$C$1),ABS(OFFSET(Assumptions!$B$16,0,$C$1)-R$31))*SIGN(OFFSET(Assumptions!$B$16,0,$C$1)-R$31))</f>
        <v>5.2999999999999999E-2</v>
      </c>
      <c r="T31" s="10">
        <f ca="1">SUM(S$31,MIN(OFFSET(Assumptions!$B$23,0,$C$1),ABS(OFFSET(Assumptions!$B$16,0,$C$1)-S$31))*SIGN(OFFSET(Assumptions!$B$16,0,$C$1)-S$31))</f>
        <v>5.2999999999999999E-2</v>
      </c>
      <c r="U31" s="10">
        <f ca="1">SUM(T$31,MIN(OFFSET(Assumptions!$B$23,0,$C$1),ABS(OFFSET(Assumptions!$B$16,0,$C$1)-T$31))*SIGN(OFFSET(Assumptions!$B$16,0,$C$1)-T$31))</f>
        <v>5.2999999999999999E-2</v>
      </c>
    </row>
    <row r="32" spans="1:21" ht="15" x14ac:dyDescent="0.25">
      <c r="A32" s="2"/>
      <c r="B32" s="4"/>
      <c r="D32" s="14"/>
      <c r="E32" s="14"/>
      <c r="F32" s="14"/>
      <c r="G32" s="15"/>
      <c r="H32" s="15"/>
      <c r="I32" s="15"/>
      <c r="J32" s="15"/>
      <c r="K32" s="15"/>
    </row>
    <row r="33" spans="1:21" ht="16.5" x14ac:dyDescent="0.25">
      <c r="A33" s="54" t="s">
        <v>275</v>
      </c>
    </row>
    <row r="34" spans="1:21" x14ac:dyDescent="0.2">
      <c r="A34" s="18" t="s">
        <v>138</v>
      </c>
    </row>
    <row r="35" spans="1:21" x14ac:dyDescent="0.2">
      <c r="A35" s="1" t="s">
        <v>635</v>
      </c>
      <c r="B35" s="4"/>
      <c r="D35" s="14">
        <f ca="1">SUM(D$130,D$140,D$144,D$154,D$162,D$168,D$536)</f>
        <v>95.013000000000005</v>
      </c>
      <c r="E35" s="14">
        <f t="shared" ref="E35:U35" ca="1" si="15">SUM(E$130,E$140,E$144,E$154,E$162,E$168,E$536)</f>
        <v>98.158999999999992</v>
      </c>
      <c r="F35" s="14">
        <f t="shared" ca="1" si="15"/>
        <v>104.22699999999998</v>
      </c>
      <c r="G35" s="15">
        <f t="shared" ca="1" si="15"/>
        <v>110.08800000000001</v>
      </c>
      <c r="H35" s="15">
        <f t="shared" ca="1" si="15"/>
        <v>116.16499999999996</v>
      </c>
      <c r="I35" s="15">
        <f t="shared" ca="1" si="15"/>
        <v>122.57000000000001</v>
      </c>
      <c r="J35" s="15">
        <f t="shared" ca="1" si="15"/>
        <v>128.54500000000002</v>
      </c>
      <c r="K35" s="15">
        <f t="shared" ca="1" si="15"/>
        <v>134.428</v>
      </c>
      <c r="L35" s="6">
        <f t="shared" ca="1" si="15"/>
        <v>140.10328710628968</v>
      </c>
      <c r="M35" s="6">
        <f t="shared" ca="1" si="15"/>
        <v>147.12720731025138</v>
      </c>
      <c r="N35" s="6">
        <f t="shared" ca="1" si="15"/>
        <v>153.81378350257148</v>
      </c>
      <c r="O35" s="6">
        <f t="shared" ca="1" si="15"/>
        <v>160.80579881733172</v>
      </c>
      <c r="P35" s="6">
        <f t="shared" ca="1" si="15"/>
        <v>167.92798280360597</v>
      </c>
      <c r="Q35" s="6">
        <f t="shared" ca="1" si="15"/>
        <v>175.4172516902488</v>
      </c>
      <c r="R35" s="6">
        <f t="shared" ca="1" si="15"/>
        <v>182.98476744185038</v>
      </c>
      <c r="S35" s="6">
        <f t="shared" ca="1" si="15"/>
        <v>190.85016891848423</v>
      </c>
      <c r="T35" s="6">
        <f t="shared" ca="1" si="15"/>
        <v>198.83013236910929</v>
      </c>
      <c r="U35" s="6">
        <f t="shared" ca="1" si="15"/>
        <v>207.25746551682153</v>
      </c>
    </row>
    <row r="36" spans="1:21" x14ac:dyDescent="0.2">
      <c r="A36" s="1" t="s">
        <v>636</v>
      </c>
      <c r="B36" s="4"/>
      <c r="D36" s="14">
        <f t="shared" ref="D36:I36" si="16">SUM(D$182,D$200,D$206,D$217,D$224,D$231,D$236,D$239,D$535-D$533)</f>
        <v>94.272000000000006</v>
      </c>
      <c r="E36" s="14">
        <f t="shared" si="16"/>
        <v>95.88</v>
      </c>
      <c r="F36" s="14">
        <f t="shared" si="16"/>
        <v>99.812000000000012</v>
      </c>
      <c r="G36" s="15">
        <f t="shared" si="16"/>
        <v>106.51500000000001</v>
      </c>
      <c r="H36" s="15">
        <f t="shared" si="16"/>
        <v>111.98400000000001</v>
      </c>
      <c r="I36" s="15">
        <f t="shared" si="16"/>
        <v>116.68199999999999</v>
      </c>
      <c r="J36" s="15">
        <f>SUM(J$182,J$200,J$206,J$217,J$224,J$231,J$236,J$239,J$535-J$533)</f>
        <v>122.32099999999998</v>
      </c>
      <c r="K36" s="15">
        <f>SUM(K$182,K$200,K$206,K$217,K$224,K$231,K$236,K$239,K$535-K$533)</f>
        <v>126.61500000000001</v>
      </c>
      <c r="L36" s="6">
        <f t="shared" ref="L36:U36" ca="1" si="17">SUM(L$182,L$200,L$206,L$217,L$224,L$231,L$236,L$239,L$535-L$533)</f>
        <v>132.70883837802037</v>
      </c>
      <c r="M36" s="6">
        <f t="shared" ca="1" si="17"/>
        <v>139.00279230706676</v>
      </c>
      <c r="N36" s="6">
        <f t="shared" ca="1" si="17"/>
        <v>145.3686961692041</v>
      </c>
      <c r="O36" s="6">
        <f t="shared" ca="1" si="17"/>
        <v>152.08353651595388</v>
      </c>
      <c r="P36" s="6">
        <f t="shared" ca="1" si="17"/>
        <v>159.16492091185998</v>
      </c>
      <c r="Q36" s="6">
        <f t="shared" ca="1" si="17"/>
        <v>166.57544259619581</v>
      </c>
      <c r="R36" s="6">
        <f t="shared" ca="1" si="17"/>
        <v>174.28388919387399</v>
      </c>
      <c r="S36" s="6">
        <f t="shared" ca="1" si="17"/>
        <v>181.80749217436261</v>
      </c>
      <c r="T36" s="6">
        <f t="shared" ca="1" si="17"/>
        <v>189.60483099743669</v>
      </c>
      <c r="U36" s="6">
        <f t="shared" ca="1" si="17"/>
        <v>197.70777416007797</v>
      </c>
    </row>
    <row r="37" spans="1:21" x14ac:dyDescent="0.2">
      <c r="A37" s="1" t="s">
        <v>638</v>
      </c>
      <c r="B37" s="4" t="s">
        <v>285</v>
      </c>
      <c r="D37" s="14">
        <f>'Fiscal Forecasts'!D$24</f>
        <v>0.32700000000000001</v>
      </c>
      <c r="E37" s="14">
        <f>'Fiscal Forecasts'!E$24</f>
        <v>0.44800000000000001</v>
      </c>
      <c r="F37" s="14">
        <f>'Fiscal Forecasts'!F$24</f>
        <v>0.34599999999999997</v>
      </c>
      <c r="G37" s="15">
        <f>'Fiscal Forecasts'!G$24</f>
        <v>0.432</v>
      </c>
      <c r="H37" s="15">
        <f>'Fiscal Forecasts'!H$24</f>
        <v>0.44400000000000001</v>
      </c>
      <c r="I37" s="15">
        <f>'Fiscal Forecasts'!I$24</f>
        <v>0.46800000000000003</v>
      </c>
      <c r="J37" s="15">
        <f>'Fiscal Forecasts'!J$24</f>
        <v>0.503</v>
      </c>
      <c r="K37" s="15">
        <f>'Fiscal Forecasts'!K$24</f>
        <v>0.501</v>
      </c>
      <c r="L37" s="6">
        <f ca="1">IF(L$6=OFFSET(Assumptions!$B$8,0,$C$1),AVERAGE(I$37/I$410,J$37/J$410,K$37/K$410),K$37/K$410)*L$410</f>
        <v>0.50270383928431095</v>
      </c>
      <c r="M37" s="6">
        <f ca="1">IF(M$6=OFFSET(Assumptions!$B$8,0,$C$1),AVERAGE(J$37/J$410,K$37/K$410,L$37/L$410),L$37/L$410)*M$410</f>
        <v>0.50889062576957655</v>
      </c>
      <c r="N37" s="6">
        <f ca="1">IF(N$6=OFFSET(Assumptions!$B$8,0,$C$1),AVERAGE(K$37/K$410,L$37/L$410,M$37/M$410),M$37/M$410)*N$410</f>
        <v>0.51535308500082178</v>
      </c>
      <c r="O37" s="6">
        <f ca="1">IF(O$6=OFFSET(Assumptions!$B$8,0,$C$1),AVERAGE(L$37/L$410,M$37/M$410,N$37/N$410),N$37/N$410)*O$410</f>
        <v>0.52209827583488311</v>
      </c>
      <c r="P37" s="6">
        <f ca="1">IF(P$6=OFFSET(Assumptions!$B$8,0,$C$1),AVERAGE(M$37/M$410,N$37/N$410,O$37/O$410),O$37/O$410)*P$410</f>
        <v>0.52913579927547394</v>
      </c>
      <c r="Q37" s="6">
        <f ca="1">IF(Q$6=OFFSET(Assumptions!$B$8,0,$C$1),AVERAGE(N$37/N$410,O$37/O$410,P$37/P$410),P$37/P$410)*Q$410</f>
        <v>0.53647572202114158</v>
      </c>
      <c r="R37" s="6">
        <f ca="1">IF(R$6=OFFSET(Assumptions!$B$8,0,$C$1),AVERAGE(O$37/O$410,P$37/P$410,Q$37/Q$410),Q$37/Q$410)*R$410</f>
        <v>0.5441275904419256</v>
      </c>
      <c r="S37" s="6">
        <f ca="1">IF(S$6=OFFSET(Assumptions!$B$8,0,$C$1),AVERAGE(P$37/P$410,Q$37/Q$410,R$37/R$410),R$37/R$410)*S$410</f>
        <v>0.55210187997066007</v>
      </c>
      <c r="T37" s="6">
        <f ca="1">IF(T$6=OFFSET(Assumptions!$B$8,0,$C$1),AVERAGE(Q$37/Q$410,R$37/R$410,S$37/S$410),S$37/S$410)*T$410</f>
        <v>0.56040935943663905</v>
      </c>
      <c r="U37" s="6">
        <f ca="1">IF(U$6=OFFSET(Assumptions!$B$8,0,$C$1),AVERAGE(R$37/R$410,S$37/S$410,T$37/T$410),T$37/T$410)*U$410</f>
        <v>0.56906180488279101</v>
      </c>
    </row>
    <row r="38" spans="1:21" ht="15" x14ac:dyDescent="0.25">
      <c r="A38" s="2" t="s">
        <v>643</v>
      </c>
      <c r="B38" s="4"/>
      <c r="D38" s="34">
        <f ca="1">SUM(D$35,-D$36,-D$37)</f>
        <v>0.41399999999999965</v>
      </c>
      <c r="E38" s="34">
        <f ca="1">SUM(E$35,-E$36,-E$37)</f>
        <v>1.8309999999999964</v>
      </c>
      <c r="F38" s="34">
        <f ca="1">SUM(F$35,-F$36,-F$37)</f>
        <v>4.0689999999999635</v>
      </c>
      <c r="G38" s="33">
        <f t="shared" ref="G38:U38" ca="1" si="18">SUM(G$35,-G$36,-G$37)</f>
        <v>3.1409999999999934</v>
      </c>
      <c r="H38" s="33">
        <f t="shared" ca="1" si="18"/>
        <v>3.7369999999999548</v>
      </c>
      <c r="I38" s="33">
        <f t="shared" ca="1" si="18"/>
        <v>5.4200000000000195</v>
      </c>
      <c r="J38" s="33">
        <f t="shared" ca="1" si="18"/>
        <v>5.7210000000000321</v>
      </c>
      <c r="K38" s="33">
        <f t="shared" ca="1" si="18"/>
        <v>7.3119999999999878</v>
      </c>
      <c r="L38" s="37">
        <f t="shared" ca="1" si="18"/>
        <v>6.8917448889849995</v>
      </c>
      <c r="M38" s="37">
        <f t="shared" ca="1" si="18"/>
        <v>7.6155243774150465</v>
      </c>
      <c r="N38" s="37">
        <f t="shared" ca="1" si="18"/>
        <v>7.9297342483665609</v>
      </c>
      <c r="O38" s="37">
        <f t="shared" ca="1" si="18"/>
        <v>8.2001640255429553</v>
      </c>
      <c r="P38" s="37">
        <f t="shared" ca="1" si="18"/>
        <v>8.2339260924705169</v>
      </c>
      <c r="Q38" s="37">
        <f t="shared" ca="1" si="18"/>
        <v>8.3053333720318498</v>
      </c>
      <c r="R38" s="37">
        <f t="shared" ca="1" si="18"/>
        <v>8.1567506575344648</v>
      </c>
      <c r="S38" s="37">
        <f t="shared" ca="1" si="18"/>
        <v>8.4905748641509611</v>
      </c>
      <c r="T38" s="37">
        <f t="shared" ca="1" si="18"/>
        <v>8.6648920122359616</v>
      </c>
      <c r="U38" s="37">
        <f t="shared" ca="1" si="18"/>
        <v>8.9806295518607602</v>
      </c>
    </row>
    <row r="39" spans="1:21" x14ac:dyDescent="0.2">
      <c r="A39" s="1" t="s">
        <v>637</v>
      </c>
      <c r="D39" s="14">
        <f t="shared" ref="D39:U39" si="19">D$328</f>
        <v>4.5469999999999997</v>
      </c>
      <c r="E39" s="14">
        <f t="shared" si="19"/>
        <v>-7.5189999999999992</v>
      </c>
      <c r="F39" s="14">
        <f t="shared" si="19"/>
        <v>7.6509999999999998</v>
      </c>
      <c r="G39" s="15">
        <f t="shared" si="19"/>
        <v>3.6720000000000006</v>
      </c>
      <c r="H39" s="15">
        <f t="shared" si="19"/>
        <v>2.8039999999999998</v>
      </c>
      <c r="I39" s="15">
        <f t="shared" si="19"/>
        <v>3.1349999999999998</v>
      </c>
      <c r="J39" s="15">
        <f t="shared" si="19"/>
        <v>3.55</v>
      </c>
      <c r="K39" s="15">
        <f t="shared" si="19"/>
        <v>4.0369999999999999</v>
      </c>
      <c r="L39" s="6">
        <f t="shared" ca="1" si="19"/>
        <v>3.6029575561437817</v>
      </c>
      <c r="M39" s="6">
        <f t="shared" ca="1" si="19"/>
        <v>4.037804800384917</v>
      </c>
      <c r="N39" s="6">
        <f t="shared" ca="1" si="19"/>
        <v>4.5067973647631465</v>
      </c>
      <c r="O39" s="6">
        <f t="shared" ca="1" si="19"/>
        <v>5.0086606967286036</v>
      </c>
      <c r="P39" s="6">
        <f t="shared" ca="1" si="19"/>
        <v>5.5432999133392915</v>
      </c>
      <c r="Q39" s="6">
        <f t="shared" ca="1" si="19"/>
        <v>5.9809862416155539</v>
      </c>
      <c r="R39" s="6">
        <f t="shared" ca="1" si="19"/>
        <v>6.4168448540855207</v>
      </c>
      <c r="S39" s="6">
        <f t="shared" ca="1" si="19"/>
        <v>6.8617816986361566</v>
      </c>
      <c r="T39" s="6">
        <f t="shared" ca="1" si="19"/>
        <v>7.3189052973466016</v>
      </c>
      <c r="U39" s="6">
        <f t="shared" ca="1" si="19"/>
        <v>7.7889896472002249</v>
      </c>
    </row>
    <row r="40" spans="1:21" x14ac:dyDescent="0.2">
      <c r="A40" s="1" t="s">
        <v>639</v>
      </c>
      <c r="B40" s="4" t="str">
        <f>$B$37</f>
        <v>From Fiscal</v>
      </c>
      <c r="D40" s="14">
        <f>'Fiscal Forecasts'!D$28</f>
        <v>0.218</v>
      </c>
      <c r="E40" s="14">
        <f>'Fiscal Forecasts'!E$28</f>
        <v>-1.2E-2</v>
      </c>
      <c r="F40" s="14">
        <f>'Fiscal Forecasts'!F$28</f>
        <v>-2.7E-2</v>
      </c>
      <c r="G40" s="15">
        <f>'Fiscal Forecasts'!G$28</f>
        <v>1.7000000000000001E-2</v>
      </c>
      <c r="H40" s="15">
        <f>'Fiscal Forecasts'!H$28</f>
        <v>1.7000000000000001E-2</v>
      </c>
      <c r="I40" s="15">
        <f>'Fiscal Forecasts'!I$28</f>
        <v>1E-3</v>
      </c>
      <c r="J40" s="15">
        <f>'Fiscal Forecasts'!J$28</f>
        <v>2E-3</v>
      </c>
      <c r="K40" s="15">
        <f>'Fiscal Forecasts'!K$28</f>
        <v>4.0000000000000001E-3</v>
      </c>
      <c r="L40" s="6">
        <f ca="1">IF(L$6=OFFSET(Assumptions!$B$8,0,$C$1),AVERAGE(I$40/I$410,J$40/J$410,K$40/K$410),K$40/K$410)*L$410</f>
        <v>2.3931713605799781E-3</v>
      </c>
      <c r="M40" s="6">
        <f ca="1">IF(M$6=OFFSET(Assumptions!$B$8,0,$C$1),AVERAGE(J$40/J$410,K$40/K$410,L$40/L$410),L$40/L$410)*M$410</f>
        <v>2.4226241697163473E-3</v>
      </c>
      <c r="N40" s="6">
        <f ca="1">IF(N$6=OFFSET(Assumptions!$B$8,0,$C$1),AVERAGE(K$40/K$410,L$40/L$410,M$40/M$410),M$40/M$410)*N$410</f>
        <v>2.4533893462329024E-3</v>
      </c>
      <c r="O40" s="6">
        <f ca="1">IF(O$6=OFFSET(Assumptions!$B$8,0,$C$1),AVERAGE(L$40/L$410,M$40/M$410,N$40/N$410),N$40/N$410)*O$410</f>
        <v>2.4855004945159623E-3</v>
      </c>
      <c r="P40" s="6">
        <f ca="1">IF(P$6=OFFSET(Assumptions!$B$8,0,$C$1),AVERAGE(M$40/M$410,N$40/N$410,O$40/O$410),O$40/O$410)*P$410</f>
        <v>2.5190033210935551E-3</v>
      </c>
      <c r="Q40" s="6">
        <f ca="1">IF(Q$6=OFFSET(Assumptions!$B$8,0,$C$1),AVERAGE(N$40/N$410,O$40/O$410,P$40/P$410),P$40/P$410)*Q$410</f>
        <v>2.5539457494800364E-3</v>
      </c>
      <c r="R40" s="6">
        <f ca="1">IF(R$6=OFFSET(Assumptions!$B$8,0,$C$1),AVERAGE(O$40/O$410,P$40/P$410,Q$40/Q$410),Q$40/Q$410)*R$410</f>
        <v>2.5903732261144253E-3</v>
      </c>
      <c r="S40" s="6">
        <f ca="1">IF(S$6=OFFSET(Assumptions!$B$8,0,$C$1),AVERAGE(P$40/P$410,Q$40/Q$410,R$40/R$410),R$40/R$410)*S$410</f>
        <v>2.6283356203310867E-3</v>
      </c>
      <c r="T40" s="6">
        <f ca="1">IF(T$6=OFFSET(Assumptions!$B$8,0,$C$1),AVERAGE(Q$40/Q$410,R$40/R$410,S$40/S$410),S$40/S$410)*T$410</f>
        <v>2.6678841982072602E-3</v>
      </c>
      <c r="U40" s="6">
        <f ca="1">IF(U$6=OFFSET(Assumptions!$B$8,0,$C$1),AVERAGE(R$40/R$410,S$40/S$410,T$40/T$410),T$40/T$410)*U$410</f>
        <v>2.7090750207603388E-3</v>
      </c>
    </row>
    <row r="41" spans="1:21" x14ac:dyDescent="0.2">
      <c r="A41" s="1" t="s">
        <v>261</v>
      </c>
      <c r="B41" s="4"/>
      <c r="D41" s="14">
        <f>D$332</f>
        <v>1.028</v>
      </c>
      <c r="E41" s="14">
        <f>E$332</f>
        <v>0.307</v>
      </c>
      <c r="F41" s="14">
        <f>F$332</f>
        <v>0.56999999999999995</v>
      </c>
      <c r="G41" s="15">
        <f t="shared" ref="G41:U41" si="20">G$332</f>
        <v>0.20100000000000001</v>
      </c>
      <c r="H41" s="15">
        <f t="shared" si="20"/>
        <v>0.249</v>
      </c>
      <c r="I41" s="15">
        <f t="shared" si="20"/>
        <v>0.28299999999999997</v>
      </c>
      <c r="J41" s="15">
        <f t="shared" si="20"/>
        <v>0.29799999999999999</v>
      </c>
      <c r="K41" s="15">
        <f t="shared" si="20"/>
        <v>0.307</v>
      </c>
      <c r="L41" s="6">
        <f t="shared" ca="1" si="20"/>
        <v>0.32376799048446347</v>
      </c>
      <c r="M41" s="6">
        <f t="shared" ca="1" si="20"/>
        <v>0.33853049427657023</v>
      </c>
      <c r="N41" s="6">
        <f t="shared" ca="1" si="20"/>
        <v>0.35361484075875516</v>
      </c>
      <c r="O41" s="6">
        <f t="shared" ca="1" si="20"/>
        <v>0.36908543595012461</v>
      </c>
      <c r="P41" s="6">
        <f t="shared" ca="1" si="20"/>
        <v>0.38508138182885543</v>
      </c>
      <c r="Q41" s="6">
        <f t="shared" ca="1" si="20"/>
        <v>0.40162816042875349</v>
      </c>
      <c r="R41" s="6">
        <f t="shared" ca="1" si="20"/>
        <v>0.41869730025378832</v>
      </c>
      <c r="S41" s="6">
        <f t="shared" ca="1" si="20"/>
        <v>0.43633963804896037</v>
      </c>
      <c r="T41" s="6">
        <f t="shared" ca="1" si="20"/>
        <v>0.45457122797241989</v>
      </c>
      <c r="U41" s="6">
        <f t="shared" ca="1" si="20"/>
        <v>0.47344718305098599</v>
      </c>
    </row>
    <row r="42" spans="1:21" ht="15" x14ac:dyDescent="0.25">
      <c r="A42" s="2" t="s">
        <v>644</v>
      </c>
      <c r="B42" s="4"/>
      <c r="D42" s="34">
        <f ca="1">SUM(D$38,D$39,-D$40,D$41)</f>
        <v>5.770999999999999</v>
      </c>
      <c r="E42" s="34">
        <f ca="1">SUM(E$38,E$39,-E$40,E$41)</f>
        <v>-5.3690000000000024</v>
      </c>
      <c r="F42" s="34">
        <f ca="1">SUM(F$38,F$39,-F$40,F$41)</f>
        <v>12.316999999999963</v>
      </c>
      <c r="G42" s="33">
        <f t="shared" ref="G42:U42" ca="1" si="21">SUM(G$38,G$39,-G$40,G$41)</f>
        <v>6.9969999999999928</v>
      </c>
      <c r="H42" s="33">
        <f t="shared" ca="1" si="21"/>
        <v>6.7729999999999535</v>
      </c>
      <c r="I42" s="33">
        <f t="shared" ca="1" si="21"/>
        <v>8.8370000000000193</v>
      </c>
      <c r="J42" s="33">
        <f t="shared" ca="1" si="21"/>
        <v>9.5670000000000321</v>
      </c>
      <c r="K42" s="33">
        <f t="shared" ca="1" si="21"/>
        <v>11.651999999999989</v>
      </c>
      <c r="L42" s="37">
        <f t="shared" ca="1" si="21"/>
        <v>10.816077264252662</v>
      </c>
      <c r="M42" s="37">
        <f t="shared" ca="1" si="21"/>
        <v>11.989437047906819</v>
      </c>
      <c r="N42" s="37">
        <f t="shared" ca="1" si="21"/>
        <v>12.78769306454223</v>
      </c>
      <c r="O42" s="37">
        <f t="shared" ca="1" si="21"/>
        <v>13.575424657727167</v>
      </c>
      <c r="P42" s="37">
        <f t="shared" ca="1" si="21"/>
        <v>14.15978838431757</v>
      </c>
      <c r="Q42" s="37">
        <f t="shared" ca="1" si="21"/>
        <v>14.685393828326678</v>
      </c>
      <c r="R42" s="37">
        <f t="shared" ca="1" si="21"/>
        <v>14.989702438647658</v>
      </c>
      <c r="S42" s="37">
        <f t="shared" ca="1" si="21"/>
        <v>15.786067865215747</v>
      </c>
      <c r="T42" s="37">
        <f t="shared" ca="1" si="21"/>
        <v>16.435700653356776</v>
      </c>
      <c r="U42" s="37">
        <f t="shared" ca="1" si="21"/>
        <v>17.240357307091209</v>
      </c>
    </row>
    <row r="43" spans="1:21" ht="15" x14ac:dyDescent="0.25">
      <c r="A43" s="26" t="s">
        <v>645</v>
      </c>
      <c r="D43" s="5" t="str">
        <f>IF(ROUND(D$36-SUM(D$188,D$224,D$236,D$239,D$244,D$250,D$259,D$267,D$271,D$275,D$282,D$289,D$293,D$297,D$301,D$307,D$311,D$535-D$533),3)=0,"OK","ERROR")</f>
        <v>OK</v>
      </c>
      <c r="E43" s="5" t="str">
        <f t="shared" ref="E43:U43" si="22">IF(ROUND(E$36-SUM(E$188,E$224,E$236,E$239,E$244,E$250,E$259,E$267,E$271,E$275,E$282,E$289,E$293,E$297,E$301,E$307,E$311,E$535-E$533),3)=0,"OK","ERROR")</f>
        <v>OK</v>
      </c>
      <c r="F43" s="5" t="str">
        <f t="shared" si="22"/>
        <v>OK</v>
      </c>
      <c r="G43" s="5" t="str">
        <f t="shared" si="22"/>
        <v>OK</v>
      </c>
      <c r="H43" s="5" t="str">
        <f t="shared" si="22"/>
        <v>OK</v>
      </c>
      <c r="I43" s="5" t="str">
        <f t="shared" si="22"/>
        <v>OK</v>
      </c>
      <c r="J43" s="5" t="str">
        <f t="shared" si="22"/>
        <v>OK</v>
      </c>
      <c r="K43" s="5" t="str">
        <f t="shared" si="22"/>
        <v>OK</v>
      </c>
      <c r="L43" s="5" t="str">
        <f t="shared" ca="1" si="22"/>
        <v>OK</v>
      </c>
      <c r="M43" s="5" t="str">
        <f t="shared" ca="1" si="22"/>
        <v>OK</v>
      </c>
      <c r="N43" s="5" t="str">
        <f t="shared" ca="1" si="22"/>
        <v>OK</v>
      </c>
      <c r="O43" s="5" t="str">
        <f t="shared" ca="1" si="22"/>
        <v>OK</v>
      </c>
      <c r="P43" s="5" t="str">
        <f t="shared" ca="1" si="22"/>
        <v>OK</v>
      </c>
      <c r="Q43" s="5" t="str">
        <f t="shared" ca="1" si="22"/>
        <v>OK</v>
      </c>
      <c r="R43" s="5" t="str">
        <f t="shared" ca="1" si="22"/>
        <v>OK</v>
      </c>
      <c r="S43" s="5" t="str">
        <f t="shared" ca="1" si="22"/>
        <v>OK</v>
      </c>
      <c r="T43" s="5" t="str">
        <f t="shared" ca="1" si="22"/>
        <v>OK</v>
      </c>
      <c r="U43" s="5" t="str">
        <f t="shared" ca="1" si="22"/>
        <v>OK</v>
      </c>
    </row>
    <row r="44" spans="1:21" ht="15" x14ac:dyDescent="0.25">
      <c r="A44" s="1" t="s">
        <v>641</v>
      </c>
      <c r="D44" s="39">
        <f ca="1">SUM(D$132,D$137,D$143,D$150,D$159,D$167,D$530)</f>
        <v>72.212999999999994</v>
      </c>
      <c r="E44" s="39">
        <f t="shared" ref="E44:U44" ca="1" si="23">SUM(E$132,E$137,E$143,E$150,E$159,E$167,E$530)</f>
        <v>76.120999999999981</v>
      </c>
      <c r="F44" s="39">
        <f t="shared" ca="1" si="23"/>
        <v>81.782000000000011</v>
      </c>
      <c r="G44" s="38">
        <f t="shared" ca="1" si="23"/>
        <v>85.959000000000003</v>
      </c>
      <c r="H44" s="38">
        <f t="shared" ca="1" si="23"/>
        <v>90.964999999999989</v>
      </c>
      <c r="I44" s="38">
        <f t="shared" ca="1" si="23"/>
        <v>96.221000000000018</v>
      </c>
      <c r="J44" s="38">
        <f t="shared" ca="1" si="23"/>
        <v>101.178</v>
      </c>
      <c r="K44" s="38">
        <f t="shared" ca="1" si="23"/>
        <v>106.259</v>
      </c>
      <c r="L44" s="7">
        <f t="shared" ca="1" si="23"/>
        <v>110.32473161252483</v>
      </c>
      <c r="M44" s="7">
        <f t="shared" ca="1" si="23"/>
        <v>115.87629064398489</v>
      </c>
      <c r="N44" s="7">
        <f t="shared" ca="1" si="23"/>
        <v>121.20142461827093</v>
      </c>
      <c r="O44" s="7">
        <f t="shared" ca="1" si="23"/>
        <v>126.67727352406372</v>
      </c>
      <c r="P44" s="7">
        <f t="shared" ca="1" si="23"/>
        <v>132.35048217743483</v>
      </c>
      <c r="Q44" s="7">
        <f t="shared" ca="1" si="23"/>
        <v>138.18612914729496</v>
      </c>
      <c r="R44" s="7">
        <f t="shared" ca="1" si="23"/>
        <v>144.21245518689096</v>
      </c>
      <c r="S44" s="7">
        <f t="shared" ca="1" si="23"/>
        <v>150.33605507774809</v>
      </c>
      <c r="T44" s="7">
        <f t="shared" ca="1" si="23"/>
        <v>156.66484728811585</v>
      </c>
      <c r="U44" s="7">
        <f t="shared" ca="1" si="23"/>
        <v>163.21458774587111</v>
      </c>
    </row>
    <row r="45" spans="1:21" ht="15" x14ac:dyDescent="0.25">
      <c r="A45" s="1" t="s">
        <v>642</v>
      </c>
      <c r="D45" s="39">
        <f>SUM(D$183,D$196,D$203,D$213,D$220,D$228,D$236,D$239,D$529-D$526)</f>
        <v>72.363</v>
      </c>
      <c r="E45" s="39">
        <f>SUM(E$183,E$196,E$203,E$213,E$220,E$228,E$236,E$239,E$529-E$526)</f>
        <v>73.929000000000002</v>
      </c>
      <c r="F45" s="39">
        <f>SUM(F$183,F$196,F$203,F$213,F$220,F$228,F$236,F$239,F$529-F$526)</f>
        <v>76.338999999999999</v>
      </c>
      <c r="G45" s="38">
        <f t="shared" ref="G45:U45" si="24">SUM(G$183,G$196,G$203,G$213,G$220,G$228,G$236,G$239,G$529-G$526)</f>
        <v>81.72</v>
      </c>
      <c r="H45" s="38">
        <f t="shared" si="24"/>
        <v>86.720000000000013</v>
      </c>
      <c r="I45" s="38">
        <f t="shared" si="24"/>
        <v>90.075000000000003</v>
      </c>
      <c r="J45" s="38">
        <f t="shared" si="24"/>
        <v>94.715000000000018</v>
      </c>
      <c r="K45" s="38">
        <f t="shared" si="24"/>
        <v>98.108000000000004</v>
      </c>
      <c r="L45" s="7">
        <f t="shared" ca="1" si="24"/>
        <v>102.20374664714706</v>
      </c>
      <c r="M45" s="7">
        <f t="shared" ca="1" si="24"/>
        <v>107.05008567305993</v>
      </c>
      <c r="N45" s="7">
        <f t="shared" ca="1" si="24"/>
        <v>111.94134522411296</v>
      </c>
      <c r="O45" s="7">
        <f t="shared" ca="1" si="24"/>
        <v>117.13450091496094</v>
      </c>
      <c r="P45" s="7">
        <f t="shared" ca="1" si="24"/>
        <v>122.62598995845126</v>
      </c>
      <c r="Q45" s="7">
        <f t="shared" ca="1" si="24"/>
        <v>128.38358247885014</v>
      </c>
      <c r="R45" s="7">
        <f t="shared" ca="1" si="24"/>
        <v>134.3632787735574</v>
      </c>
      <c r="S45" s="7">
        <f t="shared" ca="1" si="24"/>
        <v>140.2047829198913</v>
      </c>
      <c r="T45" s="7">
        <f t="shared" ca="1" si="24"/>
        <v>146.2606160771906</v>
      </c>
      <c r="U45" s="7">
        <f t="shared" ca="1" si="24"/>
        <v>152.55791465517436</v>
      </c>
    </row>
    <row r="46" spans="1:21" ht="15" x14ac:dyDescent="0.25">
      <c r="A46" s="1" t="s">
        <v>262</v>
      </c>
      <c r="D46" s="39">
        <f t="shared" ref="D46:U46" ca="1" si="25">SUM(D$44,-D$45,D$324,D$331)</f>
        <v>3.8789999999999947</v>
      </c>
      <c r="E46" s="39">
        <f t="shared" ca="1" si="25"/>
        <v>-0.91200000000002102</v>
      </c>
      <c r="F46" s="39">
        <f t="shared" ca="1" si="25"/>
        <v>12.064000000000012</v>
      </c>
      <c r="G46" s="38">
        <f t="shared" ca="1" si="25"/>
        <v>8.0690000000000044</v>
      </c>
      <c r="H46" s="38">
        <f t="shared" ca="1" si="25"/>
        <v>7.1139999999999759</v>
      </c>
      <c r="I46" s="38">
        <f t="shared" ca="1" si="25"/>
        <v>9.3070000000000146</v>
      </c>
      <c r="J46" s="38">
        <f t="shared" ca="1" si="25"/>
        <v>9.992999999999979</v>
      </c>
      <c r="K46" s="38">
        <f t="shared" ca="1" si="25"/>
        <v>12.127999999999997</v>
      </c>
      <c r="L46" s="7">
        <f t="shared" ca="1" si="25"/>
        <v>11.682198925671155</v>
      </c>
      <c r="M46" s="7">
        <f t="shared" ca="1" si="25"/>
        <v>12.815906818616766</v>
      </c>
      <c r="N46" s="7">
        <f t="shared" ca="1" si="25"/>
        <v>13.711745006793265</v>
      </c>
      <c r="O46" s="7">
        <f t="shared" ca="1" si="25"/>
        <v>14.489575149311118</v>
      </c>
      <c r="P46" s="7">
        <f t="shared" ca="1" si="25"/>
        <v>15.199969021317335</v>
      </c>
      <c r="Q46" s="7">
        <f t="shared" ca="1" si="25"/>
        <v>15.706938016110644</v>
      </c>
      <c r="R46" s="7">
        <f t="shared" ca="1" si="25"/>
        <v>16.184224682990184</v>
      </c>
      <c r="S46" s="7">
        <f t="shared" ca="1" si="25"/>
        <v>16.906756040799728</v>
      </c>
      <c r="T46" s="7">
        <f t="shared" ca="1" si="25"/>
        <v>17.631957691972858</v>
      </c>
      <c r="U46" s="7">
        <f t="shared" ca="1" si="25"/>
        <v>18.34912991514927</v>
      </c>
    </row>
    <row r="47" spans="1:21" ht="15" x14ac:dyDescent="0.25">
      <c r="A47" s="1" t="s">
        <v>646</v>
      </c>
      <c r="B47" s="4"/>
      <c r="D47" s="39">
        <f ca="1">SUM(D$44-D$150-D$530)-SUM(D$45-D$220-(D$529-D$526))</f>
        <v>2.4919999999999902</v>
      </c>
      <c r="E47" s="39">
        <f ca="1">SUM(E$44-E$150-E$530)-SUM(E$45-E$220-(E$529-E$526))</f>
        <v>4.6819999999999879</v>
      </c>
      <c r="F47" s="39">
        <f ca="1">SUM(F$44-F$150-F$530)-SUM(F$45-F$220-(F$529-F$526))</f>
        <v>7.8580000000000183</v>
      </c>
      <c r="G47" s="38">
        <f t="shared" ref="G47:U47" ca="1" si="26">SUM(G$44-G$150-G$530)-SUM(G$45-G$220-(G$529-G$526))</f>
        <v>6.5799999999999983</v>
      </c>
      <c r="H47" s="38">
        <f t="shared" ca="1" si="26"/>
        <v>6.3259999999999792</v>
      </c>
      <c r="I47" s="38">
        <f t="shared" ca="1" si="26"/>
        <v>8.2110000000000127</v>
      </c>
      <c r="J47" s="38">
        <f t="shared" ca="1" si="26"/>
        <v>8.5619999999999834</v>
      </c>
      <c r="K47" s="38">
        <f t="shared" ca="1" si="26"/>
        <v>10.10499999999999</v>
      </c>
      <c r="L47" s="7">
        <f t="shared" ca="1" si="26"/>
        <v>10.628555163107862</v>
      </c>
      <c r="M47" s="7">
        <f t="shared" ca="1" si="26"/>
        <v>11.532011393668171</v>
      </c>
      <c r="N47" s="7">
        <f t="shared" ca="1" si="26"/>
        <v>12.227501561953318</v>
      </c>
      <c r="O47" s="7">
        <f t="shared" ca="1" si="26"/>
        <v>12.834360804931165</v>
      </c>
      <c r="P47" s="7">
        <f t="shared" ca="1" si="26"/>
        <v>13.419458048752119</v>
      </c>
      <c r="Q47" s="7">
        <f t="shared" ca="1" si="26"/>
        <v>13.984729379674789</v>
      </c>
      <c r="R47" s="7">
        <f t="shared" ca="1" si="26"/>
        <v>14.564448835830518</v>
      </c>
      <c r="S47" s="7">
        <f t="shared" ca="1" si="26"/>
        <v>15.102111615885264</v>
      </c>
      <c r="T47" s="7">
        <f t="shared" ca="1" si="26"/>
        <v>15.634465344999427</v>
      </c>
      <c r="U47" s="7">
        <f t="shared" ca="1" si="26"/>
        <v>16.155182183920687</v>
      </c>
    </row>
    <row r="48" spans="1:21" ht="15" x14ac:dyDescent="0.25">
      <c r="A48" s="1" t="s">
        <v>647</v>
      </c>
      <c r="B48" s="4"/>
      <c r="D48" s="39">
        <f t="shared" ref="D48:U48" si="27">D$489</f>
        <v>-1.8270000000000008</v>
      </c>
      <c r="E48" s="39">
        <f t="shared" si="27"/>
        <v>-1.3220000000000134</v>
      </c>
      <c r="F48" s="39">
        <f t="shared" si="27"/>
        <v>2.5740000000000069</v>
      </c>
      <c r="G48" s="38">
        <f t="shared" si="27"/>
        <v>-1.254999999999991</v>
      </c>
      <c r="H48" s="38">
        <f t="shared" si="27"/>
        <v>-3.8749999999999911</v>
      </c>
      <c r="I48" s="38">
        <f t="shared" si="27"/>
        <v>-1.7270000000000003</v>
      </c>
      <c r="J48" s="38">
        <f t="shared" si="27"/>
        <v>-1.893000000000006</v>
      </c>
      <c r="K48" s="38">
        <f t="shared" si="27"/>
        <v>0.65199999999998326</v>
      </c>
      <c r="L48" s="7">
        <f t="shared" ca="1" si="27"/>
        <v>-6.406441170176258E-2</v>
      </c>
      <c r="M48" s="7">
        <f t="shared" ca="1" si="27"/>
        <v>-1.1742553977725372</v>
      </c>
      <c r="N48" s="7">
        <f t="shared" ca="1" si="27"/>
        <v>-2.2310534531987187</v>
      </c>
      <c r="O48" s="7">
        <f t="shared" ca="1" si="27"/>
        <v>-3.3139029493615091</v>
      </c>
      <c r="P48" s="7">
        <f t="shared" ca="1" si="27"/>
        <v>-4.478565269461388</v>
      </c>
      <c r="Q48" s="7">
        <f t="shared" ca="1" si="27"/>
        <v>-4.6621098729698645</v>
      </c>
      <c r="R48" s="7">
        <f t="shared" ca="1" si="27"/>
        <v>-4.9211501872436969</v>
      </c>
      <c r="S48" s="7">
        <f t="shared" ca="1" si="27"/>
        <v>-5.0066688505103016</v>
      </c>
      <c r="T48" s="7">
        <f t="shared" ca="1" si="27"/>
        <v>-5.1335307730099125</v>
      </c>
      <c r="U48" s="7">
        <f t="shared" ca="1" si="27"/>
        <v>-5.2922998086091368</v>
      </c>
    </row>
    <row r="49" spans="1:21" ht="15" x14ac:dyDescent="0.25">
      <c r="A49" s="26" t="s">
        <v>648</v>
      </c>
      <c r="D49" s="5" t="str">
        <f>IF(ROUND(D$45-SUM(D$185,D$220,D$236,D$239,D$243,D$247,D$256,D$266,D$270,D$274,D$278,D$288,D$292,D$296,D$300,D$306,D$310,D$529-D$526),3)=0,"OK","ERROR")</f>
        <v>OK</v>
      </c>
      <c r="E49" s="5" t="str">
        <f t="shared" ref="E49:U49" si="28">IF(ROUND(E$45-SUM(E$185,E$220,E$236,E$239,E$243,E$247,E$256,E$266,E$270,E$274,E$278,E$288,E$292,E$296,E$300,E$306,E$310,E$529-E$526),3)=0,"OK","ERROR")</f>
        <v>OK</v>
      </c>
      <c r="F49" s="5" t="str">
        <f t="shared" si="28"/>
        <v>OK</v>
      </c>
      <c r="G49" s="5" t="str">
        <f t="shared" si="28"/>
        <v>OK</v>
      </c>
      <c r="H49" s="5" t="str">
        <f t="shared" si="28"/>
        <v>OK</v>
      </c>
      <c r="I49" s="5" t="str">
        <f t="shared" si="28"/>
        <v>OK</v>
      </c>
      <c r="J49" s="5" t="str">
        <f t="shared" si="28"/>
        <v>OK</v>
      </c>
      <c r="K49" s="5" t="str">
        <f t="shared" si="28"/>
        <v>OK</v>
      </c>
      <c r="L49" s="5" t="str">
        <f t="shared" ca="1" si="28"/>
        <v>OK</v>
      </c>
      <c r="M49" s="5" t="str">
        <f t="shared" ca="1" si="28"/>
        <v>OK</v>
      </c>
      <c r="N49" s="5" t="str">
        <f t="shared" ca="1" si="28"/>
        <v>OK</v>
      </c>
      <c r="O49" s="5" t="str">
        <f t="shared" ca="1" si="28"/>
        <v>OK</v>
      </c>
      <c r="P49" s="5" t="str">
        <f t="shared" ca="1" si="28"/>
        <v>OK</v>
      </c>
      <c r="Q49" s="5" t="str">
        <f t="shared" ca="1" si="28"/>
        <v>OK</v>
      </c>
      <c r="R49" s="5" t="str">
        <f t="shared" ca="1" si="28"/>
        <v>OK</v>
      </c>
      <c r="S49" s="5" t="str">
        <f t="shared" ca="1" si="28"/>
        <v>OK</v>
      </c>
      <c r="T49" s="5" t="str">
        <f t="shared" ca="1" si="28"/>
        <v>OK</v>
      </c>
      <c r="U49" s="5" t="str">
        <f t="shared" ca="1" si="28"/>
        <v>OK</v>
      </c>
    </row>
    <row r="50" spans="1:21" ht="15" x14ac:dyDescent="0.25">
      <c r="A50" s="26"/>
      <c r="D50" s="5"/>
      <c r="E50" s="5"/>
      <c r="F50" s="5"/>
      <c r="G50" s="5"/>
      <c r="H50" s="5"/>
      <c r="I50" s="5"/>
      <c r="J50" s="5"/>
      <c r="K50" s="5"/>
      <c r="L50" s="5"/>
      <c r="M50" s="5"/>
      <c r="N50" s="5"/>
      <c r="O50" s="5"/>
      <c r="P50" s="5"/>
      <c r="Q50" s="5"/>
      <c r="R50" s="5"/>
      <c r="S50" s="5"/>
      <c r="T50" s="5"/>
      <c r="U50" s="5"/>
    </row>
    <row r="51" spans="1:21" x14ac:dyDescent="0.2">
      <c r="A51" s="18" t="s">
        <v>211</v>
      </c>
    </row>
    <row r="52" spans="1:21" x14ac:dyDescent="0.2">
      <c r="A52" s="1" t="s">
        <v>649</v>
      </c>
      <c r="D52" s="14">
        <f ca="1">SUM(D$338,D$345,D$354,D$363,D$386,D$399,D$403,D$411,D$423,D$429,D$441,D$442,D$528)</f>
        <v>278.70300000000003</v>
      </c>
      <c r="E52" s="14">
        <f t="shared" ref="E52:U52" ca="1" si="29">SUM(E$338,E$345,E$354,E$363,E$386,E$399,E$403,E$411,E$423,E$429,E$441,E$442,E$528)</f>
        <v>292.67900000000003</v>
      </c>
      <c r="F52" s="14">
        <f t="shared" ca="1" si="29"/>
        <v>313.60899999999998</v>
      </c>
      <c r="G52" s="15">
        <f t="shared" ca="1" si="29"/>
        <v>324.892</v>
      </c>
      <c r="H52" s="15">
        <f t="shared" ca="1" si="29"/>
        <v>328.93300000000005</v>
      </c>
      <c r="I52" s="15">
        <f t="shared" ca="1" si="29"/>
        <v>342.51200000000006</v>
      </c>
      <c r="J52" s="15">
        <f t="shared" ca="1" si="29"/>
        <v>354.75700000000001</v>
      </c>
      <c r="K52" s="15">
        <f t="shared" ca="1" si="29"/>
        <v>374.798</v>
      </c>
      <c r="L52" s="6">
        <f t="shared" ca="1" si="29"/>
        <v>389.0872555134282</v>
      </c>
      <c r="M52" s="6">
        <f t="shared" ca="1" si="29"/>
        <v>407.68558977422032</v>
      </c>
      <c r="N52" s="6">
        <f t="shared" ca="1" si="29"/>
        <v>428.44256016619505</v>
      </c>
      <c r="O52" s="6">
        <f t="shared" ca="1" si="29"/>
        <v>451.40559311750928</v>
      </c>
      <c r="P52" s="6">
        <f t="shared" ca="1" si="29"/>
        <v>476.54881157205921</v>
      </c>
      <c r="Q52" s="6">
        <f t="shared" ca="1" si="29"/>
        <v>502.82324742626139</v>
      </c>
      <c r="R52" s="6">
        <f t="shared" ca="1" si="29"/>
        <v>530.01163732422981</v>
      </c>
      <c r="S52" s="6">
        <f t="shared" ca="1" si="29"/>
        <v>558.28429240213461</v>
      </c>
      <c r="T52" s="6">
        <f t="shared" ca="1" si="29"/>
        <v>587.60283810327894</v>
      </c>
      <c r="U52" s="6">
        <f t="shared" ca="1" si="29"/>
        <v>618.1095674002845</v>
      </c>
    </row>
    <row r="53" spans="1:21" x14ac:dyDescent="0.2">
      <c r="A53" s="1" t="s">
        <v>653</v>
      </c>
      <c r="D53" s="14">
        <f t="shared" ref="D53:U53" si="30">SUM(D$67,D$445,D$452,D$456,D$462,D$467,D$471)</f>
        <v>186.46700000000001</v>
      </c>
      <c r="E53" s="14">
        <f t="shared" si="30"/>
        <v>197.15800000000002</v>
      </c>
      <c r="F53" s="14">
        <f t="shared" si="30"/>
        <v>197.137</v>
      </c>
      <c r="G53" s="15">
        <f t="shared" si="30"/>
        <v>201.32499999999999</v>
      </c>
      <c r="H53" s="15">
        <f t="shared" si="30"/>
        <v>198.61599999999999</v>
      </c>
      <c r="I53" s="15">
        <f t="shared" si="30"/>
        <v>203.46599999999998</v>
      </c>
      <c r="J53" s="15">
        <f t="shared" si="30"/>
        <v>206.15800000000002</v>
      </c>
      <c r="K53" s="15">
        <f t="shared" si="30"/>
        <v>214.52099999999999</v>
      </c>
      <c r="L53" s="6">
        <f t="shared" ca="1" si="30"/>
        <v>217.99417824917558</v>
      </c>
      <c r="M53" s="6">
        <f t="shared" ca="1" si="30"/>
        <v>224.60307546206096</v>
      </c>
      <c r="N53" s="6">
        <f t="shared" ca="1" si="30"/>
        <v>232.57235278949332</v>
      </c>
      <c r="O53" s="6">
        <f t="shared" ca="1" si="30"/>
        <v>241.9599610830804</v>
      </c>
      <c r="P53" s="6">
        <f t="shared" ca="1" si="30"/>
        <v>252.9433911533128</v>
      </c>
      <c r="Q53" s="6">
        <f t="shared" ca="1" si="30"/>
        <v>264.53243317918839</v>
      </c>
      <c r="R53" s="6">
        <f t="shared" ca="1" si="30"/>
        <v>276.7311206385092</v>
      </c>
      <c r="S53" s="6">
        <f t="shared" ca="1" si="30"/>
        <v>289.21770785119804</v>
      </c>
      <c r="T53" s="6">
        <f t="shared" ca="1" si="30"/>
        <v>302.10055289898588</v>
      </c>
      <c r="U53" s="6">
        <f t="shared" ca="1" si="30"/>
        <v>315.36692488890031</v>
      </c>
    </row>
    <row r="54" spans="1:21" ht="15" x14ac:dyDescent="0.25">
      <c r="A54" s="2" t="s">
        <v>654</v>
      </c>
      <c r="B54" s="4"/>
      <c r="D54" s="34">
        <f ca="1">SUM(D$52,-D$53)</f>
        <v>92.236000000000018</v>
      </c>
      <c r="E54" s="34">
        <f ca="1">SUM(E$52,-E$53)</f>
        <v>95.521000000000015</v>
      </c>
      <c r="F54" s="34">
        <f ca="1">SUM(F$52,-F$53)</f>
        <v>116.47199999999998</v>
      </c>
      <c r="G54" s="33">
        <f t="shared" ref="G54:U54" ca="1" si="31">SUM(G$52,-G$53)</f>
        <v>123.56700000000001</v>
      </c>
      <c r="H54" s="33">
        <f t="shared" ca="1" si="31"/>
        <v>130.31700000000006</v>
      </c>
      <c r="I54" s="33">
        <f t="shared" ca="1" si="31"/>
        <v>139.04600000000008</v>
      </c>
      <c r="J54" s="33">
        <f t="shared" ca="1" si="31"/>
        <v>148.59899999999999</v>
      </c>
      <c r="K54" s="33">
        <f t="shared" ca="1" si="31"/>
        <v>160.27700000000002</v>
      </c>
      <c r="L54" s="37">
        <f t="shared" ca="1" si="31"/>
        <v>171.09307726425263</v>
      </c>
      <c r="M54" s="37">
        <f t="shared" ca="1" si="31"/>
        <v>183.08251431215936</v>
      </c>
      <c r="N54" s="37">
        <f t="shared" ca="1" si="31"/>
        <v>195.87020737670173</v>
      </c>
      <c r="O54" s="37">
        <f t="shared" ca="1" si="31"/>
        <v>209.44563203442888</v>
      </c>
      <c r="P54" s="37">
        <f t="shared" ca="1" si="31"/>
        <v>223.60542041874641</v>
      </c>
      <c r="Q54" s="37">
        <f t="shared" ca="1" si="31"/>
        <v>238.290814247073</v>
      </c>
      <c r="R54" s="37">
        <f t="shared" ca="1" si="31"/>
        <v>253.28051668572061</v>
      </c>
      <c r="S54" s="37">
        <f t="shared" ca="1" si="31"/>
        <v>269.06658455093657</v>
      </c>
      <c r="T54" s="37">
        <f t="shared" ca="1" si="31"/>
        <v>285.50228520429306</v>
      </c>
      <c r="U54" s="37">
        <f t="shared" ca="1" si="31"/>
        <v>302.74264251138419</v>
      </c>
    </row>
    <row r="55" spans="1:21" x14ac:dyDescent="0.2">
      <c r="A55" s="1" t="s">
        <v>287</v>
      </c>
      <c r="B55" s="4" t="str">
        <f>$B$37</f>
        <v>From Fiscal</v>
      </c>
      <c r="D55" s="14">
        <f>'Fiscal Forecasts'!D$137</f>
        <v>5.782</v>
      </c>
      <c r="E55" s="14">
        <f>'Fiscal Forecasts'!E$137</f>
        <v>6.1550000000000002</v>
      </c>
      <c r="F55" s="14">
        <f>'Fiscal Forecasts'!F$137</f>
        <v>5.94</v>
      </c>
      <c r="G55" s="15">
        <f>'Fiscal Forecasts'!G$137</f>
        <v>5.9180000000000001</v>
      </c>
      <c r="H55" s="15">
        <f>'Fiscal Forecasts'!H$137</f>
        <v>5.86</v>
      </c>
      <c r="I55" s="15">
        <f>'Fiscal Forecasts'!I$137</f>
        <v>5.7329999999999997</v>
      </c>
      <c r="J55" s="15">
        <f>'Fiscal Forecasts'!J$137</f>
        <v>5.6719999999999997</v>
      </c>
      <c r="K55" s="15">
        <f>'Fiscal Forecasts'!K$137</f>
        <v>5.6079999999999997</v>
      </c>
      <c r="L55" s="6">
        <f ca="1">IF(L$6=OFFSET(Assumptions!$B$8,0,$C$1),AVERAGE(I$55/I$410,J$55/J$410,K$55/K$410),K$55/K$410)*L$410</f>
        <v>5.8093628804498572</v>
      </c>
      <c r="M55" s="6">
        <f ca="1">IF(M$6=OFFSET(Assumptions!$B$8,0,$C$1),AVERAGE(J$55/J$410,K$55/K$410,L$55/L$410),L$55/L$410)*M$410</f>
        <v>5.8808588288554624</v>
      </c>
      <c r="N55" s="6">
        <f ca="1">IF(N$6=OFFSET(Assumptions!$B$8,0,$C$1),AVERAGE(K$55/K$410,L$55/L$410,M$55/M$410),M$55/M$410)*N$410</f>
        <v>5.9555405158460877</v>
      </c>
      <c r="O55" s="6">
        <f ca="1">IF(O$6=OFFSET(Assumptions!$B$8,0,$C$1),AVERAGE(L$55/L$410,M$55/M$410,N$55/N$410),N$55/N$410)*O$410</f>
        <v>6.0334895152186281</v>
      </c>
      <c r="P55" s="6">
        <f ca="1">IF(P$6=OFFSET(Assumptions!$B$8,0,$C$1),AVERAGE(M$55/M$410,N$55/N$410,O$55/O$410),O$55/O$410)*P$410</f>
        <v>6.1148167784125382</v>
      </c>
      <c r="Q55" s="6">
        <f ca="1">IF(Q$6=OFFSET(Assumptions!$B$8,0,$C$1),AVERAGE(N$55/N$410,O$55/O$410,P$55/P$410),P$55/P$410)*Q$410</f>
        <v>6.1996386385454496</v>
      </c>
      <c r="R55" s="6">
        <f ca="1">IF(R$6=OFFSET(Assumptions!$B$8,0,$C$1),AVERAGE(O$55/O$410,P$55/P$410,Q$55/Q$410),Q$55/Q$410)*R$410</f>
        <v>6.2880654156973312</v>
      </c>
      <c r="S55" s="6">
        <f ca="1">IF(S$6=OFFSET(Assumptions!$B$8,0,$C$1),AVERAGE(P$55/P$410,Q$55/Q$410,R$55/R$410),R$55/R$410)*S$410</f>
        <v>6.3802181664146183</v>
      </c>
      <c r="T55" s="6">
        <f ca="1">IF(T$6=OFFSET(Assumptions!$B$8,0,$C$1),AVERAGE(Q$55/Q$410,R$55/R$410,S$55/S$410),S$55/S$410)*T$410</f>
        <v>6.4762213378017037</v>
      </c>
      <c r="U55" s="6">
        <f ca="1">IF(U$6=OFFSET(Assumptions!$B$8,0,$C$1),AVERAGE(R$55/R$410,S$55/S$410,T$55/T$410),T$55/T$410)*U$410</f>
        <v>6.5762110165587906</v>
      </c>
    </row>
    <row r="56" spans="1:21" ht="15" x14ac:dyDescent="0.25">
      <c r="A56" s="2" t="s">
        <v>650</v>
      </c>
      <c r="D56" s="34">
        <f ca="1">SUM(D$54,-D$55)</f>
        <v>86.454000000000022</v>
      </c>
      <c r="E56" s="34">
        <f ca="1">SUM(E$54,-E$55)</f>
        <v>89.366000000000014</v>
      </c>
      <c r="F56" s="34">
        <f ca="1">SUM(F$54,-F$55)</f>
        <v>110.53199999999998</v>
      </c>
      <c r="G56" s="33">
        <f t="shared" ref="G56:U56" ca="1" si="32">SUM(G$54,-G$55)</f>
        <v>117.649</v>
      </c>
      <c r="H56" s="33">
        <f t="shared" ca="1" si="32"/>
        <v>124.45700000000006</v>
      </c>
      <c r="I56" s="33">
        <f t="shared" ca="1" si="32"/>
        <v>133.31300000000007</v>
      </c>
      <c r="J56" s="33">
        <f t="shared" ca="1" si="32"/>
        <v>142.92699999999999</v>
      </c>
      <c r="K56" s="33">
        <f t="shared" ca="1" si="32"/>
        <v>154.66900000000001</v>
      </c>
      <c r="L56" s="37">
        <f t="shared" ca="1" si="32"/>
        <v>165.28371438380276</v>
      </c>
      <c r="M56" s="37">
        <f t="shared" ca="1" si="32"/>
        <v>177.20165548330391</v>
      </c>
      <c r="N56" s="37">
        <f t="shared" ca="1" si="32"/>
        <v>189.91466686085565</v>
      </c>
      <c r="O56" s="37">
        <f t="shared" ca="1" si="32"/>
        <v>203.41214251921025</v>
      </c>
      <c r="P56" s="37">
        <f t="shared" ca="1" si="32"/>
        <v>217.49060364033386</v>
      </c>
      <c r="Q56" s="37">
        <f t="shared" ca="1" si="32"/>
        <v>232.09117560852755</v>
      </c>
      <c r="R56" s="37">
        <f t="shared" ca="1" si="32"/>
        <v>246.99245127002328</v>
      </c>
      <c r="S56" s="37">
        <f t="shared" ca="1" si="32"/>
        <v>262.68636638452193</v>
      </c>
      <c r="T56" s="37">
        <f t="shared" ca="1" si="32"/>
        <v>279.02606386649137</v>
      </c>
      <c r="U56" s="37">
        <f t="shared" ca="1" si="32"/>
        <v>296.16643149482542</v>
      </c>
    </row>
    <row r="57" spans="1:21" ht="15" x14ac:dyDescent="0.25">
      <c r="A57" s="26" t="s">
        <v>651</v>
      </c>
      <c r="B57" s="4" t="s">
        <v>719</v>
      </c>
      <c r="D57" s="5" t="str">
        <f ca="1">IF(ROUND('Fiscal Forecasts'!D$135-D$54,3)=0,"OK","ERROR")</f>
        <v>OK</v>
      </c>
      <c r="E57" s="5" t="str">
        <f ca="1">IF(ROUND('Fiscal Forecasts'!E$135-E$54,3)=0,"OK","ERROR")</f>
        <v>OK</v>
      </c>
      <c r="F57" s="5" t="str">
        <f ca="1">IF(ROUND('Fiscal Forecasts'!F$135-F$54,3)=0,"OK","ERROR")</f>
        <v>OK</v>
      </c>
      <c r="G57" s="5" t="str">
        <f ca="1">IF(ROUND('Fiscal Forecasts'!G$135-G$54,3)=0,"OK","ERROR")</f>
        <v>OK</v>
      </c>
      <c r="H57" s="5" t="str">
        <f ca="1">IF(ROUND('Fiscal Forecasts'!H$135-H$54,3)=0,"OK","ERROR")</f>
        <v>OK</v>
      </c>
      <c r="I57" s="5" t="str">
        <f ca="1">IF(ROUND('Fiscal Forecasts'!I$135-I$54,3)=0,"OK","ERROR")</f>
        <v>OK</v>
      </c>
      <c r="J57" s="5" t="str">
        <f ca="1">IF(ROUND('Fiscal Forecasts'!J$135-J$54,3)=0,"OK","ERROR")</f>
        <v>OK</v>
      </c>
      <c r="K57" s="5" t="str">
        <f ca="1">IF(ROUND('Fiscal Forecasts'!K$135-K$54,3)=0,"OK","ERROR")</f>
        <v>OK</v>
      </c>
      <c r="L57" s="52"/>
      <c r="M57" s="52"/>
      <c r="N57" s="52"/>
      <c r="O57" s="52"/>
      <c r="P57" s="52"/>
      <c r="Q57" s="52"/>
      <c r="R57" s="52"/>
      <c r="S57" s="52"/>
      <c r="T57" s="52"/>
      <c r="U57" s="52"/>
    </row>
    <row r="58" spans="1:21" ht="15" x14ac:dyDescent="0.25">
      <c r="A58" s="26" t="s">
        <v>652</v>
      </c>
      <c r="B58" s="4" t="s">
        <v>288</v>
      </c>
      <c r="L58" s="5" t="str">
        <f t="shared" ref="L58:U58" ca="1" si="33">IF(ROUND(L$42-(L$54-K$54),3)=0,"OK","ERROR")</f>
        <v>OK</v>
      </c>
      <c r="M58" s="5" t="str">
        <f t="shared" ca="1" si="33"/>
        <v>OK</v>
      </c>
      <c r="N58" s="5" t="str">
        <f t="shared" ca="1" si="33"/>
        <v>OK</v>
      </c>
      <c r="O58" s="5" t="str">
        <f t="shared" ca="1" si="33"/>
        <v>OK</v>
      </c>
      <c r="P58" s="5" t="str">
        <f t="shared" ca="1" si="33"/>
        <v>OK</v>
      </c>
      <c r="Q58" s="5" t="str">
        <f t="shared" ca="1" si="33"/>
        <v>OK</v>
      </c>
      <c r="R58" s="5" t="str">
        <f t="shared" ca="1" si="33"/>
        <v>OK</v>
      </c>
      <c r="S58" s="5" t="str">
        <f t="shared" ca="1" si="33"/>
        <v>OK</v>
      </c>
      <c r="T58" s="5" t="str">
        <f t="shared" ca="1" si="33"/>
        <v>OK</v>
      </c>
      <c r="U58" s="5" t="str">
        <f t="shared" ca="1" si="33"/>
        <v>OK</v>
      </c>
    </row>
    <row r="59" spans="1:21" x14ac:dyDescent="0.2">
      <c r="A59" s="1" t="s">
        <v>265</v>
      </c>
      <c r="D59" s="14">
        <f ca="1">SUM(D$337,D$344,D$350,D$359,D$383,D$398,D$402,D$408,D$422,D$426,D$441,D$442,D$528)</f>
        <v>158.71300000000002</v>
      </c>
      <c r="E59" s="14">
        <f ca="1">SUM(E$337,E$344,E$350,E$359,E$383,E$398,E$402,E$408,E$422,E$426,E$441,E$442,E$528)</f>
        <v>165.17</v>
      </c>
      <c r="F59" s="14">
        <f ca="1">SUM(F$337,F$344,F$350,F$359,F$383,F$398,F$402,F$408,F$422,F$426,F$441,F$442,F$528)</f>
        <v>180.376</v>
      </c>
      <c r="G59" s="15">
        <f ca="1">SUM(G$337,G$344,G$350,G$359,G$383,G$398,G$402,G$408,G$422,G$426,G$441,G$442,G$528)</f>
        <v>189.26399999999998</v>
      </c>
      <c r="H59" s="15">
        <f t="shared" ref="H59:U59" ca="1" si="34">SUM(H$337,H$344,H$350,H$359,H$383,H$398,H$402,H$408,H$422,H$426,H$441,H$442,H$528)</f>
        <v>189.91299999999998</v>
      </c>
      <c r="I59" s="15">
        <f t="shared" ca="1" si="34"/>
        <v>200.50699999999998</v>
      </c>
      <c r="J59" s="15">
        <f t="shared" ca="1" si="34"/>
        <v>209.25200000000001</v>
      </c>
      <c r="K59" s="15">
        <f t="shared" ca="1" si="34"/>
        <v>225.893</v>
      </c>
      <c r="L59" s="6">
        <f t="shared" ca="1" si="34"/>
        <v>238.91446276733933</v>
      </c>
      <c r="M59" s="6">
        <f t="shared" ca="1" si="34"/>
        <v>254.40270839619365</v>
      </c>
      <c r="N59" s="6">
        <f t="shared" ca="1" si="34"/>
        <v>271.95839556744613</v>
      </c>
      <c r="O59" s="6">
        <f t="shared" ca="1" si="34"/>
        <v>291.55067270264544</v>
      </c>
      <c r="P59" s="6">
        <f t="shared" ca="1" si="34"/>
        <v>313.221021679692</v>
      </c>
      <c r="Q59" s="6">
        <f t="shared" ca="1" si="34"/>
        <v>335.79906275113979</v>
      </c>
      <c r="R59" s="6">
        <f t="shared" ca="1" si="34"/>
        <v>359.17449931651214</v>
      </c>
      <c r="S59" s="6">
        <f t="shared" ca="1" si="34"/>
        <v>383.42741729875848</v>
      </c>
      <c r="T59" s="6">
        <f t="shared" ca="1" si="34"/>
        <v>408.60540076462217</v>
      </c>
      <c r="U59" s="6">
        <f t="shared" ca="1" si="34"/>
        <v>434.74086536659064</v>
      </c>
    </row>
    <row r="60" spans="1:21" x14ac:dyDescent="0.2">
      <c r="A60" s="1" t="s">
        <v>655</v>
      </c>
      <c r="B60" s="4" t="str">
        <f>$B$37</f>
        <v>From Fiscal</v>
      </c>
      <c r="D60" s="14">
        <f>'Fiscal Forecasts'!D$178</f>
        <v>95.549000000000007</v>
      </c>
      <c r="E60" s="14">
        <f>'Fiscal Forecasts'!E$178</f>
        <v>95.036000000000001</v>
      </c>
      <c r="F60" s="14">
        <f>'Fiscal Forecasts'!F$178</f>
        <v>93.73</v>
      </c>
      <c r="G60" s="15">
        <f>'Fiscal Forecasts'!G$178</f>
        <v>97.248999999999995</v>
      </c>
      <c r="H60" s="15">
        <f>'Fiscal Forecasts'!H$178</f>
        <v>91.653999999999996</v>
      </c>
      <c r="I60" s="15">
        <f>'Fiscal Forecasts'!I$178</f>
        <v>93.87</v>
      </c>
      <c r="J60" s="15">
        <f>'Fiscal Forecasts'!J$178</f>
        <v>92.787999999999997</v>
      </c>
      <c r="K60" s="15">
        <f>'Fiscal Forecasts'!K$178</f>
        <v>97.887</v>
      </c>
      <c r="L60" s="6">
        <f t="shared" ref="L60:U60" ca="1" si="35">L$68</f>
        <v>98.505101808562415</v>
      </c>
      <c r="M60" s="6">
        <f t="shared" ca="1" si="35"/>
        <v>100.40256791655375</v>
      </c>
      <c r="N60" s="6">
        <f t="shared" ca="1" si="35"/>
        <v>103.46133282500915</v>
      </c>
      <c r="O60" s="6">
        <f t="shared" ca="1" si="35"/>
        <v>107.74906256694267</v>
      </c>
      <c r="P60" s="6">
        <f t="shared" ca="1" si="35"/>
        <v>113.37369012022697</v>
      </c>
      <c r="Q60" s="6">
        <f t="shared" ca="1" si="35"/>
        <v>119.37415249595799</v>
      </c>
      <c r="R60" s="6">
        <f t="shared" ca="1" si="35"/>
        <v>125.67225032355796</v>
      </c>
      <c r="S60" s="6">
        <f t="shared" ca="1" si="35"/>
        <v>132.09773531633957</v>
      </c>
      <c r="T60" s="6">
        <f t="shared" ca="1" si="35"/>
        <v>138.69503296990064</v>
      </c>
      <c r="U60" s="6">
        <f t="shared" ca="1" si="35"/>
        <v>145.50031460663308</v>
      </c>
    </row>
    <row r="61" spans="1:21" x14ac:dyDescent="0.2">
      <c r="A61" s="1" t="s">
        <v>1199</v>
      </c>
      <c r="D61" s="14">
        <f t="shared" ref="D61:U61" si="36">SUM(D$445,D$451,D$455,D$459,D$465,D$470)</f>
        <v>29.762</v>
      </c>
      <c r="E61" s="14">
        <f t="shared" si="36"/>
        <v>33.515000000000001</v>
      </c>
      <c r="F61" s="14">
        <f t="shared" si="36"/>
        <v>34.897999999999996</v>
      </c>
      <c r="G61" s="15">
        <f t="shared" si="36"/>
        <v>32.167999999999999</v>
      </c>
      <c r="H61" s="15">
        <f t="shared" si="36"/>
        <v>31.266999999999996</v>
      </c>
      <c r="I61" s="15">
        <f t="shared" si="36"/>
        <v>30.302</v>
      </c>
      <c r="J61" s="15">
        <f t="shared" si="36"/>
        <v>30.091000000000001</v>
      </c>
      <c r="K61" s="15">
        <f t="shared" si="36"/>
        <v>29.455000000000002</v>
      </c>
      <c r="L61" s="6">
        <f t="shared" ca="1" si="36"/>
        <v>30.174162033105752</v>
      </c>
      <c r="M61" s="6">
        <f t="shared" ca="1" si="36"/>
        <v>30.949034735351976</v>
      </c>
      <c r="N61" s="6">
        <f t="shared" ca="1" si="36"/>
        <v>31.734211991355757</v>
      </c>
      <c r="O61" s="6">
        <f t="shared" ca="1" si="36"/>
        <v>32.54918423531042</v>
      </c>
      <c r="P61" s="6">
        <f t="shared" ca="1" si="36"/>
        <v>33.394936637755407</v>
      </c>
      <c r="Q61" s="6">
        <f t="shared" ca="1" si="36"/>
        <v>34.265577317361569</v>
      </c>
      <c r="R61" s="6">
        <f t="shared" ca="1" si="36"/>
        <v>35.158691372143821</v>
      </c>
      <c r="S61" s="6">
        <f t="shared" ca="1" si="36"/>
        <v>36.079368320808861</v>
      </c>
      <c r="T61" s="6">
        <f t="shared" ca="1" si="36"/>
        <v>37.028096441138665</v>
      </c>
      <c r="U61" s="6">
        <f t="shared" ca="1" si="36"/>
        <v>38.009149491225394</v>
      </c>
    </row>
    <row r="62" spans="1:21" ht="15" x14ac:dyDescent="0.25">
      <c r="A62" s="2" t="s">
        <v>328</v>
      </c>
      <c r="B62" s="4"/>
      <c r="D62" s="34">
        <f ca="1">SUM(D$59,-D$60,-D$61)</f>
        <v>33.402000000000015</v>
      </c>
      <c r="E62" s="34">
        <f ca="1">SUM(E$59,-E$60,-E$61)</f>
        <v>36.618999999999986</v>
      </c>
      <c r="F62" s="34">
        <f ca="1">SUM(F$59,-F$60,-F$61)</f>
        <v>51.748000000000005</v>
      </c>
      <c r="G62" s="33">
        <f t="shared" ref="G62:U62" ca="1" si="37">SUM(G$59,-G$60,-G$61)</f>
        <v>59.846999999999987</v>
      </c>
      <c r="H62" s="33">
        <f t="shared" ca="1" si="37"/>
        <v>66.99199999999999</v>
      </c>
      <c r="I62" s="33">
        <f t="shared" ca="1" si="37"/>
        <v>76.33499999999998</v>
      </c>
      <c r="J62" s="33">
        <f t="shared" ca="1" si="37"/>
        <v>86.373000000000019</v>
      </c>
      <c r="K62" s="33">
        <f t="shared" ca="1" si="37"/>
        <v>98.551000000000002</v>
      </c>
      <c r="L62" s="37">
        <f t="shared" ca="1" si="37"/>
        <v>110.23519892567117</v>
      </c>
      <c r="M62" s="37">
        <f t="shared" ca="1" si="37"/>
        <v>123.05110574428792</v>
      </c>
      <c r="N62" s="37">
        <f t="shared" ca="1" si="37"/>
        <v>136.76285075108123</v>
      </c>
      <c r="O62" s="37">
        <f t="shared" ca="1" si="37"/>
        <v>151.25242590039238</v>
      </c>
      <c r="P62" s="37">
        <f t="shared" ca="1" si="37"/>
        <v>166.45239492170964</v>
      </c>
      <c r="Q62" s="37">
        <f t="shared" ca="1" si="37"/>
        <v>182.15933293782024</v>
      </c>
      <c r="R62" s="37">
        <f t="shared" ca="1" si="37"/>
        <v>198.34355762081037</v>
      </c>
      <c r="S62" s="37">
        <f t="shared" ca="1" si="37"/>
        <v>215.25031366161005</v>
      </c>
      <c r="T62" s="37">
        <f t="shared" ca="1" si="37"/>
        <v>232.88227135358287</v>
      </c>
      <c r="U62" s="37">
        <f t="shared" ca="1" si="37"/>
        <v>251.23140126873216</v>
      </c>
    </row>
    <row r="63" spans="1:21" ht="15" x14ac:dyDescent="0.25">
      <c r="A63" s="26" t="s">
        <v>329</v>
      </c>
      <c r="B63" s="4" t="str">
        <f>$B$57</f>
        <v>History &amp; Forecast only</v>
      </c>
      <c r="D63" s="5" t="str">
        <f ca="1">IF(ROUND('Fiscal Forecasts'!D$186-D$62,3)=0,"OK","ERROR")</f>
        <v>OK</v>
      </c>
      <c r="E63" s="5" t="str">
        <f ca="1">IF(ROUND('Fiscal Forecasts'!E$186-E$62,3)=0,"OK","ERROR")</f>
        <v>OK</v>
      </c>
      <c r="F63" s="5" t="str">
        <f ca="1">IF(ROUND('Fiscal Forecasts'!F$186-F$62,3)=0,"OK","ERROR")</f>
        <v>OK</v>
      </c>
      <c r="G63" s="5" t="str">
        <f ca="1">IF(ROUND('Fiscal Forecasts'!G$186-G$62,3)=0,"OK","ERROR")</f>
        <v>OK</v>
      </c>
      <c r="H63" s="5" t="str">
        <f ca="1">IF(ROUND('Fiscal Forecasts'!H$186-H$62,3)=0,"OK","ERROR")</f>
        <v>OK</v>
      </c>
      <c r="I63" s="5" t="str">
        <f ca="1">IF(ROUND('Fiscal Forecasts'!I$186-I$62,3)=0,"OK","ERROR")</f>
        <v>OK</v>
      </c>
      <c r="J63" s="5" t="str">
        <f ca="1">IF(ROUND('Fiscal Forecasts'!J$186-J$62,3)=0,"OK","ERROR")</f>
        <v>OK</v>
      </c>
      <c r="K63" s="5" t="str">
        <f ca="1">IF(ROUND('Fiscal Forecasts'!K$186-K$62,3)=0,"OK","ERROR")</f>
        <v>OK</v>
      </c>
    </row>
    <row r="64" spans="1:21" ht="15" x14ac:dyDescent="0.25">
      <c r="A64" s="26" t="s">
        <v>330</v>
      </c>
      <c r="B64" s="4" t="str">
        <f>$B$58</f>
        <v>Projected Years only</v>
      </c>
      <c r="L64" s="5" t="str">
        <f t="shared" ref="L64:U64" ca="1" si="38">IF(ROUND(L$46-(L$62-K$62)-(K$68-K$60),3)=0,"OK","ERROR")</f>
        <v>OK</v>
      </c>
      <c r="M64" s="5" t="str">
        <f t="shared" ca="1" si="38"/>
        <v>OK</v>
      </c>
      <c r="N64" s="5" t="str">
        <f t="shared" ca="1" si="38"/>
        <v>OK</v>
      </c>
      <c r="O64" s="5" t="str">
        <f t="shared" ca="1" si="38"/>
        <v>OK</v>
      </c>
      <c r="P64" s="5" t="str">
        <f t="shared" ca="1" si="38"/>
        <v>OK</v>
      </c>
      <c r="Q64" s="5" t="str">
        <f t="shared" ca="1" si="38"/>
        <v>OK</v>
      </c>
      <c r="R64" s="5" t="str">
        <f t="shared" ca="1" si="38"/>
        <v>OK</v>
      </c>
      <c r="S64" s="5" t="str">
        <f t="shared" ca="1" si="38"/>
        <v>OK</v>
      </c>
      <c r="T64" s="5" t="str">
        <f t="shared" ca="1" si="38"/>
        <v>OK</v>
      </c>
      <c r="U64" s="5" t="str">
        <f t="shared" ca="1" si="38"/>
        <v>OK</v>
      </c>
    </row>
    <row r="65" spans="1:21" ht="15" x14ac:dyDescent="0.25">
      <c r="A65" s="26"/>
      <c r="B65" s="4"/>
      <c r="L65" s="5"/>
      <c r="M65" s="5"/>
      <c r="N65" s="5"/>
      <c r="O65" s="5"/>
      <c r="P65" s="5"/>
      <c r="Q65" s="5"/>
      <c r="R65" s="5"/>
      <c r="S65" s="5"/>
      <c r="T65" s="5"/>
      <c r="U65" s="5"/>
    </row>
    <row r="66" spans="1:21" x14ac:dyDescent="0.2">
      <c r="A66" s="18" t="s">
        <v>236</v>
      </c>
    </row>
    <row r="67" spans="1:21" x14ac:dyDescent="0.2">
      <c r="A67" s="1" t="s">
        <v>286</v>
      </c>
      <c r="B67" s="4"/>
      <c r="D67" s="14">
        <f>D$534</f>
        <v>112.58</v>
      </c>
      <c r="E67" s="14">
        <f t="shared" ref="E67:U67" si="39">E$534</f>
        <v>113.956</v>
      </c>
      <c r="F67" s="14">
        <f t="shared" si="39"/>
        <v>111.806</v>
      </c>
      <c r="G67" s="15">
        <f t="shared" si="39"/>
        <v>115.97799999999999</v>
      </c>
      <c r="H67" s="15">
        <f t="shared" si="39"/>
        <v>112.89</v>
      </c>
      <c r="I67" s="15">
        <f t="shared" si="39"/>
        <v>117.176</v>
      </c>
      <c r="J67" s="15">
        <f t="shared" si="39"/>
        <v>118.173</v>
      </c>
      <c r="K67" s="15">
        <f t="shared" si="39"/>
        <v>125.399</v>
      </c>
      <c r="L67" s="6">
        <f t="shared" ca="1" si="39"/>
        <v>125.81344376421633</v>
      </c>
      <c r="M67" s="6">
        <f t="shared" ca="1" si="39"/>
        <v>129.20730257883037</v>
      </c>
      <c r="N67" s="6">
        <f t="shared" ca="1" si="39"/>
        <v>133.80972847792631</v>
      </c>
      <c r="O67" s="6">
        <f t="shared" ca="1" si="39"/>
        <v>139.65922349759953</v>
      </c>
      <c r="P67" s="6">
        <f t="shared" ca="1" si="39"/>
        <v>146.93661609754787</v>
      </c>
      <c r="Q67" s="6">
        <f t="shared" ca="1" si="39"/>
        <v>154.64832835312424</v>
      </c>
      <c r="R67" s="6">
        <f t="shared" ca="1" si="39"/>
        <v>162.82196366348731</v>
      </c>
      <c r="S67" s="6">
        <f t="shared" ca="1" si="39"/>
        <v>171.08746371468635</v>
      </c>
      <c r="T67" s="6">
        <f t="shared" ca="1" si="39"/>
        <v>179.54673750740099</v>
      </c>
      <c r="U67" s="6">
        <f t="shared" ca="1" si="39"/>
        <v>188.18035109134939</v>
      </c>
    </row>
    <row r="68" spans="1:21" x14ac:dyDescent="0.2">
      <c r="A68" s="1" t="s">
        <v>331</v>
      </c>
      <c r="B68" s="4"/>
      <c r="D68" s="14">
        <f t="shared" ref="D68:I68" si="40">D$527</f>
        <v>95.649000000000001</v>
      </c>
      <c r="E68" s="14">
        <f t="shared" si="40"/>
        <v>95.037000000000006</v>
      </c>
      <c r="F68" s="14">
        <f t="shared" si="40"/>
        <v>94.106999999999999</v>
      </c>
      <c r="G68" s="15">
        <f t="shared" si="40"/>
        <v>97.248000000000005</v>
      </c>
      <c r="H68" s="15">
        <f t="shared" si="40"/>
        <v>91.655000000000001</v>
      </c>
      <c r="I68" s="15">
        <f t="shared" si="40"/>
        <v>93.869</v>
      </c>
      <c r="J68" s="15">
        <f>J$527</f>
        <v>92.787999999999997</v>
      </c>
      <c r="K68" s="15">
        <f>K$527</f>
        <v>97.885000000000005</v>
      </c>
      <c r="L68" s="6">
        <f t="shared" ref="L68:U68" ca="1" si="41">L$527</f>
        <v>98.505101808562415</v>
      </c>
      <c r="M68" s="6">
        <f t="shared" ca="1" si="41"/>
        <v>100.40256791655375</v>
      </c>
      <c r="N68" s="6">
        <f t="shared" ca="1" si="41"/>
        <v>103.46133282500915</v>
      </c>
      <c r="O68" s="6">
        <f t="shared" ca="1" si="41"/>
        <v>107.74906256694267</v>
      </c>
      <c r="P68" s="6">
        <f t="shared" ca="1" si="41"/>
        <v>113.37369012022697</v>
      </c>
      <c r="Q68" s="6">
        <f t="shared" ca="1" si="41"/>
        <v>119.37415249595799</v>
      </c>
      <c r="R68" s="6">
        <f t="shared" ca="1" si="41"/>
        <v>125.67225032355796</v>
      </c>
      <c r="S68" s="6">
        <f t="shared" ca="1" si="41"/>
        <v>132.09773531633957</v>
      </c>
      <c r="T68" s="6">
        <f t="shared" ca="1" si="41"/>
        <v>138.69503296990064</v>
      </c>
      <c r="U68" s="6">
        <f t="shared" ca="1" si="41"/>
        <v>145.50031460663308</v>
      </c>
    </row>
    <row r="69" spans="1:21" x14ac:dyDescent="0.2">
      <c r="A69" s="1" t="s">
        <v>682</v>
      </c>
      <c r="B69" s="4" t="str">
        <f>$B$37</f>
        <v>From Fiscal</v>
      </c>
      <c r="D69" s="14">
        <f>'Fiscal Forecasts'!D$140</f>
        <v>2.4929999999999999</v>
      </c>
      <c r="E69" s="14">
        <f>'Fiscal Forecasts'!E$140</f>
        <v>1.754</v>
      </c>
      <c r="F69" s="14">
        <f>'Fiscal Forecasts'!F$140</f>
        <v>1.4870000000000001</v>
      </c>
      <c r="G69" s="15">
        <f>'Fiscal Forecasts'!G$140</f>
        <v>2.2629999999999999</v>
      </c>
      <c r="H69" s="15">
        <f>'Fiscal Forecasts'!H$140</f>
        <v>2.2839999999999998</v>
      </c>
      <c r="I69" s="15">
        <f>'Fiscal Forecasts'!I$140</f>
        <v>2.2959999999999998</v>
      </c>
      <c r="J69" s="15">
        <f>'Fiscal Forecasts'!J$140</f>
        <v>2.298</v>
      </c>
      <c r="K69" s="15">
        <f>'Fiscal Forecasts'!K$140</f>
        <v>2.3010000000000002</v>
      </c>
      <c r="L69" s="6">
        <f ca="1">OFFSET(Assumptions!$B$77,0,$C$1)*K$348</f>
        <v>2.5011810000000003</v>
      </c>
      <c r="M69" s="6">
        <f ca="1">OFFSET(Assumptions!$B$77,0,$C$1)*L$348</f>
        <v>2.7744482138069069</v>
      </c>
      <c r="N69" s="6">
        <f ca="1">OFFSET(Assumptions!$B$77,0,$C$1)*M$348</f>
        <v>3.0376388498566005</v>
      </c>
      <c r="O69" s="6">
        <f ca="1">OFFSET(Assumptions!$B$77,0,$C$1)*N$348</f>
        <v>3.3113700326199251</v>
      </c>
      <c r="P69" s="6">
        <f ca="1">OFFSET(Assumptions!$B$77,0,$C$1)*O$348</f>
        <v>3.5953829813819511</v>
      </c>
      <c r="Q69" s="6">
        <f ca="1">OFFSET(Assumptions!$B$77,0,$C$1)*P$348</f>
        <v>3.8895980698167842</v>
      </c>
      <c r="R69" s="6">
        <f ca="1">OFFSET(Assumptions!$B$77,0,$C$1)*Q$348</f>
        <v>4.189446176019918</v>
      </c>
      <c r="S69" s="6">
        <f ca="1">OFFSET(Assumptions!$B$77,0,$C$1)*R$348</f>
        <v>4.4949927560674139</v>
      </c>
      <c r="T69" s="6">
        <f ca="1">OFFSET(Assumptions!$B$77,0,$C$1)*S$348</f>
        <v>4.8083069943226215</v>
      </c>
      <c r="U69" s="6">
        <f ca="1">OFFSET(Assumptions!$B$77,0,$C$1)*T$348</f>
        <v>5.1301753492291535</v>
      </c>
    </row>
    <row r="70" spans="1:21" ht="15" x14ac:dyDescent="0.25">
      <c r="A70" s="2" t="s">
        <v>332</v>
      </c>
      <c r="D70" s="34">
        <f>SUM(D$68,-D$69)</f>
        <v>93.156000000000006</v>
      </c>
      <c r="E70" s="34">
        <f>SUM(E$68,-E$69)</f>
        <v>93.283000000000001</v>
      </c>
      <c r="F70" s="34">
        <f>SUM(F$68,-F$69)</f>
        <v>92.62</v>
      </c>
      <c r="G70" s="33">
        <f t="shared" ref="G70:U70" si="42">SUM(G$68,-G$69)</f>
        <v>94.984999999999999</v>
      </c>
      <c r="H70" s="33">
        <f t="shared" si="42"/>
        <v>89.370999999999995</v>
      </c>
      <c r="I70" s="33">
        <f t="shared" si="42"/>
        <v>91.572999999999993</v>
      </c>
      <c r="J70" s="33">
        <f t="shared" si="42"/>
        <v>90.49</v>
      </c>
      <c r="K70" s="33">
        <f t="shared" si="42"/>
        <v>95.584000000000003</v>
      </c>
      <c r="L70" s="37">
        <f t="shared" ca="1" si="42"/>
        <v>96.003920808562413</v>
      </c>
      <c r="M70" s="37">
        <f t="shared" ca="1" si="42"/>
        <v>97.628119702746844</v>
      </c>
      <c r="N70" s="37">
        <f t="shared" ca="1" si="42"/>
        <v>100.42369397515255</v>
      </c>
      <c r="O70" s="37">
        <f t="shared" ca="1" si="42"/>
        <v>104.43769253432275</v>
      </c>
      <c r="P70" s="37">
        <f t="shared" ca="1" si="42"/>
        <v>109.77830713884502</v>
      </c>
      <c r="Q70" s="37">
        <f t="shared" ca="1" si="42"/>
        <v>115.4845544261412</v>
      </c>
      <c r="R70" s="37">
        <f t="shared" ca="1" si="42"/>
        <v>121.48280414753805</v>
      </c>
      <c r="S70" s="37">
        <f t="shared" ca="1" si="42"/>
        <v>127.60274256027215</v>
      </c>
      <c r="T70" s="37">
        <f t="shared" ca="1" si="42"/>
        <v>133.886725975578</v>
      </c>
      <c r="U70" s="37">
        <f t="shared" ca="1" si="42"/>
        <v>140.37013925740393</v>
      </c>
    </row>
    <row r="71" spans="1:21" x14ac:dyDescent="0.2">
      <c r="A71" s="1" t="s">
        <v>333</v>
      </c>
      <c r="B71" s="4" t="str">
        <f>$B$37</f>
        <v>From Fiscal</v>
      </c>
      <c r="D71" s="14">
        <f>SUM('Fiscal Forecasts'!D$142,D$528)</f>
        <v>76.433999999999997</v>
      </c>
      <c r="E71" s="14">
        <f>SUM('Fiscal Forecasts'!E$142,E$528)</f>
        <v>75.793000000000006</v>
      </c>
      <c r="F71" s="14">
        <f>SUM('Fiscal Forecasts'!F$142,F$528)</f>
        <v>81.015000000000001</v>
      </c>
      <c r="G71" s="15">
        <f>SUM('Fiscal Forecasts'!G$142,G$528)</f>
        <v>85.569000000000003</v>
      </c>
      <c r="H71" s="15">
        <f>SUM('Fiscal Forecasts'!H$142,H$528)</f>
        <v>79.453000000000003</v>
      </c>
      <c r="I71" s="15">
        <f>SUM('Fiscal Forecasts'!I$142,I$528)</f>
        <v>84.509</v>
      </c>
      <c r="J71" s="15">
        <f>SUM('Fiscal Forecasts'!J$142,J$528)</f>
        <v>87.221999999999994</v>
      </c>
      <c r="K71" s="15">
        <f>SUM('Fiscal Forecasts'!K$142,K$528)</f>
        <v>99.129000000000005</v>
      </c>
      <c r="L71" s="6">
        <f t="shared" ref="L71:U71" ca="1" si="43">SUM(L$337,L$350,L$359,L$383,L$528)</f>
        <v>104.06567460867129</v>
      </c>
      <c r="M71" s="6">
        <f t="shared" ca="1" si="43"/>
        <v>110.83396507246623</v>
      </c>
      <c r="N71" s="6">
        <f t="shared" ca="1" si="43"/>
        <v>117.98477708583002</v>
      </c>
      <c r="O71" s="6">
        <f t="shared" ca="1" si="43"/>
        <v>125.5301024249777</v>
      </c>
      <c r="P71" s="6">
        <f t="shared" ca="1" si="43"/>
        <v>133.49888679384321</v>
      </c>
      <c r="Q71" s="6">
        <f t="shared" ca="1" si="43"/>
        <v>141.80357708530312</v>
      </c>
      <c r="R71" s="6">
        <f t="shared" ca="1" si="43"/>
        <v>150.30286875595297</v>
      </c>
      <c r="S71" s="6">
        <f t="shared" ca="1" si="43"/>
        <v>159.04585697876431</v>
      </c>
      <c r="T71" s="6">
        <f t="shared" ca="1" si="43"/>
        <v>168.05202479220873</v>
      </c>
      <c r="U71" s="6">
        <f t="shared" ca="1" si="43"/>
        <v>177.32482122716152</v>
      </c>
    </row>
    <row r="72" spans="1:21" ht="15" x14ac:dyDescent="0.25">
      <c r="A72" s="2" t="s">
        <v>241</v>
      </c>
      <c r="D72" s="34">
        <f>SUM(D$70,-D$71)</f>
        <v>16.722000000000008</v>
      </c>
      <c r="E72" s="34">
        <f>SUM(E$70,-E$71)</f>
        <v>17.489999999999995</v>
      </c>
      <c r="F72" s="34">
        <f>SUM(F$70,-F$71)</f>
        <v>11.605000000000004</v>
      </c>
      <c r="G72" s="33">
        <f t="shared" ref="G72:U72" si="44">SUM(G$70,-G$71)</f>
        <v>9.4159999999999968</v>
      </c>
      <c r="H72" s="33">
        <f t="shared" si="44"/>
        <v>9.9179999999999922</v>
      </c>
      <c r="I72" s="33">
        <f t="shared" si="44"/>
        <v>7.063999999999993</v>
      </c>
      <c r="J72" s="33">
        <f t="shared" si="44"/>
        <v>3.2680000000000007</v>
      </c>
      <c r="K72" s="33">
        <f t="shared" si="44"/>
        <v>-3.5450000000000017</v>
      </c>
      <c r="L72" s="37">
        <f t="shared" ca="1" si="44"/>
        <v>-8.0617538001088747</v>
      </c>
      <c r="M72" s="37">
        <f t="shared" ca="1" si="44"/>
        <v>-13.205845369719384</v>
      </c>
      <c r="N72" s="37">
        <f t="shared" ca="1" si="44"/>
        <v>-17.561083110677473</v>
      </c>
      <c r="O72" s="37">
        <f t="shared" ca="1" si="44"/>
        <v>-21.092409890654949</v>
      </c>
      <c r="P72" s="37">
        <f t="shared" ca="1" si="44"/>
        <v>-23.72057965499819</v>
      </c>
      <c r="Q72" s="37">
        <f t="shared" ca="1" si="44"/>
        <v>-26.319022659161917</v>
      </c>
      <c r="R72" s="37">
        <f t="shared" ca="1" si="44"/>
        <v>-28.820064608414924</v>
      </c>
      <c r="S72" s="37">
        <f t="shared" ca="1" si="44"/>
        <v>-31.443114418492158</v>
      </c>
      <c r="T72" s="37">
        <f t="shared" ca="1" si="44"/>
        <v>-34.165298816630724</v>
      </c>
      <c r="U72" s="37">
        <f t="shared" ca="1" si="44"/>
        <v>-36.954681969757587</v>
      </c>
    </row>
    <row r="73" spans="1:21" x14ac:dyDescent="0.2">
      <c r="A73" s="1" t="s">
        <v>334</v>
      </c>
      <c r="B73" s="4" t="str">
        <f>$B$37</f>
        <v>From Fiscal</v>
      </c>
      <c r="D73" s="14">
        <f>'Fiscal Forecasts'!D$144</f>
        <v>14.14</v>
      </c>
      <c r="E73" s="14">
        <f>'Fiscal Forecasts'!E$144</f>
        <v>14.612</v>
      </c>
      <c r="F73" s="14">
        <f>'Fiscal Forecasts'!F$144</f>
        <v>12.013999999999999</v>
      </c>
      <c r="G73" s="15">
        <f>'Fiscal Forecasts'!G$144</f>
        <v>11.943</v>
      </c>
      <c r="H73" s="15">
        <f>'Fiscal Forecasts'!H$144</f>
        <v>11.984</v>
      </c>
      <c r="I73" s="15">
        <f>'Fiscal Forecasts'!I$144</f>
        <v>11.951000000000001</v>
      </c>
      <c r="J73" s="15">
        <f>'Fiscal Forecasts'!J$144</f>
        <v>11.811</v>
      </c>
      <c r="K73" s="15">
        <f>'Fiscal Forecasts'!K$144</f>
        <v>11.566000000000001</v>
      </c>
      <c r="L73" s="6">
        <f t="shared" ref="L73:U73" ca="1" si="45">SUM(L$381,L$382)</f>
        <v>11.473679291603187</v>
      </c>
      <c r="M73" s="6">
        <f t="shared" ca="1" si="45"/>
        <v>11.414493153471376</v>
      </c>
      <c r="N73" s="6">
        <f t="shared" ca="1" si="45"/>
        <v>11.380764508095199</v>
      </c>
      <c r="O73" s="6">
        <f t="shared" ca="1" si="45"/>
        <v>11.368822384270977</v>
      </c>
      <c r="P73" s="6">
        <f t="shared" ca="1" si="45"/>
        <v>11.38074438316012</v>
      </c>
      <c r="Q73" s="6">
        <f t="shared" ca="1" si="45"/>
        <v>11.413431902768156</v>
      </c>
      <c r="R73" s="6">
        <f t="shared" ca="1" si="45"/>
        <v>11.465444677613984</v>
      </c>
      <c r="S73" s="6">
        <f t="shared" ca="1" si="45"/>
        <v>11.534300967150182</v>
      </c>
      <c r="T73" s="6">
        <f t="shared" ca="1" si="45"/>
        <v>11.620164436835946</v>
      </c>
      <c r="U73" s="6">
        <f t="shared" ca="1" si="45"/>
        <v>11.717596941036831</v>
      </c>
    </row>
    <row r="74" spans="1:21" x14ac:dyDescent="0.2">
      <c r="A74" s="1" t="s">
        <v>335</v>
      </c>
      <c r="B74" s="4" t="str">
        <f>$B$37</f>
        <v>From Fiscal</v>
      </c>
      <c r="D74" s="14">
        <f>'Fiscal Forecasts'!D$145</f>
        <v>29.768999999999998</v>
      </c>
      <c r="E74" s="14">
        <f>'Fiscal Forecasts'!E$145</f>
        <v>29.777999999999999</v>
      </c>
      <c r="F74" s="14">
        <f>'Fiscal Forecasts'!F$145</f>
        <v>35.860999999999997</v>
      </c>
      <c r="G74" s="15">
        <f>'Fiscal Forecasts'!G$145</f>
        <v>39.049999999999997</v>
      </c>
      <c r="H74" s="15">
        <f>'Fiscal Forecasts'!H$145</f>
        <v>42.302</v>
      </c>
      <c r="I74" s="15">
        <f>'Fiscal Forecasts'!I$145</f>
        <v>46.85</v>
      </c>
      <c r="J74" s="15">
        <f>'Fiscal Forecasts'!J$145</f>
        <v>52.527999999999999</v>
      </c>
      <c r="K74" s="15">
        <f>'Fiscal Forecasts'!K$145</f>
        <v>58.936</v>
      </c>
      <c r="L74" s="6">
        <f t="shared" ref="L74:U74" ca="1" si="46">SUM(L$335,L$348,L$357,L$380)</f>
        <v>63.231610454203924</v>
      </c>
      <c r="M74" s="6">
        <f t="shared" ca="1" si="46"/>
        <v>69.229908671150426</v>
      </c>
      <c r="N74" s="6">
        <f t="shared" ca="1" si="46"/>
        <v>75.4684333015704</v>
      </c>
      <c r="O74" s="6">
        <f t="shared" ca="1" si="46"/>
        <v>81.941286552425865</v>
      </c>
      <c r="P74" s="6">
        <f t="shared" ca="1" si="46"/>
        <v>88.64665368419648</v>
      </c>
      <c r="Q74" s="6">
        <f t="shared" ca="1" si="46"/>
        <v>95.480401220919063</v>
      </c>
      <c r="R74" s="6">
        <f t="shared" ca="1" si="46"/>
        <v>102.4440209522341</v>
      </c>
      <c r="S74" s="6">
        <f t="shared" ca="1" si="46"/>
        <v>109.58467103339929</v>
      </c>
      <c r="T74" s="6">
        <f t="shared" ca="1" si="46"/>
        <v>116.92027540103652</v>
      </c>
      <c r="U74" s="6">
        <f t="shared" ca="1" si="46"/>
        <v>124.45493077659087</v>
      </c>
    </row>
    <row r="75" spans="1:21" ht="15" x14ac:dyDescent="0.25">
      <c r="A75" s="2" t="s">
        <v>336</v>
      </c>
      <c r="D75" s="34">
        <f t="shared" ref="D75:U75" si="47">SUM(D$72:D$74)</f>
        <v>60.631000000000007</v>
      </c>
      <c r="E75" s="34">
        <f t="shared" si="47"/>
        <v>61.879999999999995</v>
      </c>
      <c r="F75" s="34">
        <f t="shared" si="47"/>
        <v>59.480000000000004</v>
      </c>
      <c r="G75" s="33">
        <f t="shared" si="47"/>
        <v>60.408999999999992</v>
      </c>
      <c r="H75" s="33">
        <f t="shared" si="47"/>
        <v>64.203999999999994</v>
      </c>
      <c r="I75" s="33">
        <f t="shared" si="47"/>
        <v>65.864999999999995</v>
      </c>
      <c r="J75" s="33">
        <f t="shared" si="47"/>
        <v>67.606999999999999</v>
      </c>
      <c r="K75" s="33">
        <f t="shared" si="47"/>
        <v>66.956999999999994</v>
      </c>
      <c r="L75" s="37">
        <f t="shared" ca="1" si="47"/>
        <v>66.643535945698233</v>
      </c>
      <c r="M75" s="37">
        <f t="shared" ca="1" si="47"/>
        <v>67.438556454902425</v>
      </c>
      <c r="N75" s="37">
        <f t="shared" ca="1" si="47"/>
        <v>69.288114698988124</v>
      </c>
      <c r="O75" s="37">
        <f t="shared" ca="1" si="47"/>
        <v>72.217699046041901</v>
      </c>
      <c r="P75" s="37">
        <f t="shared" ca="1" si="47"/>
        <v>76.30681841235841</v>
      </c>
      <c r="Q75" s="37">
        <f t="shared" ca="1" si="47"/>
        <v>80.574810464525299</v>
      </c>
      <c r="R75" s="37">
        <f t="shared" ca="1" si="47"/>
        <v>85.089401021433162</v>
      </c>
      <c r="S75" s="37">
        <f t="shared" ca="1" si="47"/>
        <v>89.675857582057318</v>
      </c>
      <c r="T75" s="37">
        <f t="shared" ca="1" si="47"/>
        <v>94.375141021241745</v>
      </c>
      <c r="U75" s="37">
        <f t="shared" ca="1" si="47"/>
        <v>99.217845747870115</v>
      </c>
    </row>
    <row r="76" spans="1:21" ht="15" x14ac:dyDescent="0.25">
      <c r="A76" s="26" t="s">
        <v>1197</v>
      </c>
      <c r="B76" s="4" t="str">
        <f>$B$57</f>
        <v>History &amp; Forecast only</v>
      </c>
      <c r="D76" s="5" t="str">
        <f>IF(ROUND('Fiscal Forecasts'!D$146-D$75,3)=0,"OK","ERROR")</f>
        <v>OK</v>
      </c>
      <c r="E76" s="5" t="str">
        <f>IF(ROUND('Fiscal Forecasts'!E$146-E$75,3)=0,"OK","ERROR")</f>
        <v>OK</v>
      </c>
      <c r="F76" s="5" t="str">
        <f>IF(ROUND('Fiscal Forecasts'!F$146-F$75,3)=0,"OK","ERROR")</f>
        <v>OK</v>
      </c>
      <c r="G76" s="5" t="str">
        <f>IF(ROUND('Fiscal Forecasts'!G$146-G$75,3)=0,"OK","ERROR")</f>
        <v>OK</v>
      </c>
      <c r="H76" s="5" t="str">
        <f>IF(ROUND('Fiscal Forecasts'!H$146-H$75,3)=0,"OK","ERROR")</f>
        <v>OK</v>
      </c>
      <c r="I76" s="5" t="str">
        <f>IF(ROUND('Fiscal Forecasts'!I$146-I$75,3)=0,"OK","ERROR")</f>
        <v>OK</v>
      </c>
      <c r="J76" s="5" t="str">
        <f>IF(ROUND('Fiscal Forecasts'!J$146-J$75,3)=0,"OK","ERROR")</f>
        <v>OK</v>
      </c>
      <c r="K76" s="5" t="str">
        <f>IF(ROUND('Fiscal Forecasts'!K$146-K$75,3)=0,"OK","ERROR")</f>
        <v>OK</v>
      </c>
    </row>
    <row r="77" spans="1:21" ht="15" x14ac:dyDescent="0.25">
      <c r="A77" s="26"/>
      <c r="B77" s="4"/>
      <c r="D77" s="5"/>
      <c r="E77" s="5"/>
      <c r="F77" s="5"/>
      <c r="G77" s="5"/>
      <c r="H77" s="5"/>
      <c r="I77" s="5"/>
      <c r="J77" s="5"/>
      <c r="K77" s="5"/>
    </row>
    <row r="78" spans="1:21" x14ac:dyDescent="0.2">
      <c r="A78" s="18" t="s">
        <v>174</v>
      </c>
    </row>
    <row r="79" spans="1:21" x14ac:dyDescent="0.2">
      <c r="A79" s="1" t="s">
        <v>175</v>
      </c>
      <c r="B79" s="4" t="str">
        <f>$B$37</f>
        <v>From Fiscal</v>
      </c>
      <c r="D79" s="14">
        <f>'Fiscal Forecasts'!D$69</f>
        <v>64.944999999999993</v>
      </c>
      <c r="E79" s="14">
        <f>'Fiscal Forecasts'!E$69</f>
        <v>69.027000000000001</v>
      </c>
      <c r="F79" s="14">
        <f>'Fiscal Forecasts'!F$69</f>
        <v>73.099000000000004</v>
      </c>
      <c r="G79" s="15">
        <f>'Fiscal Forecasts'!G$69</f>
        <v>77.944999999999993</v>
      </c>
      <c r="H79" s="15">
        <f>'Fiscal Forecasts'!H$69</f>
        <v>81.962999999999994</v>
      </c>
      <c r="I79" s="15">
        <f>'Fiscal Forecasts'!I$69</f>
        <v>86.983000000000004</v>
      </c>
      <c r="J79" s="15">
        <f>'Fiscal Forecasts'!J$69</f>
        <v>91.72</v>
      </c>
      <c r="K79" s="15">
        <f>'Fiscal Forecasts'!K$69</f>
        <v>96.74</v>
      </c>
      <c r="L79" s="6">
        <f t="shared" ref="L79:U79" ca="1" si="48">SUM(L$474-L$367,L$131)</f>
        <v>101.10584474501981</v>
      </c>
      <c r="M79" s="6">
        <f t="shared" ca="1" si="48"/>
        <v>106.02200907425737</v>
      </c>
      <c r="N79" s="6">
        <f t="shared" ca="1" si="48"/>
        <v>110.78722733234981</v>
      </c>
      <c r="O79" s="6">
        <f t="shared" ca="1" si="48"/>
        <v>115.64182129070342</v>
      </c>
      <c r="P79" s="6">
        <f t="shared" ca="1" si="48"/>
        <v>120.65773706543874</v>
      </c>
      <c r="Q79" s="6">
        <f t="shared" ca="1" si="48"/>
        <v>125.84617263843805</v>
      </c>
      <c r="R79" s="6">
        <f t="shared" ca="1" si="48"/>
        <v>131.1996858423432</v>
      </c>
      <c r="S79" s="6">
        <f t="shared" ca="1" si="48"/>
        <v>136.73204206750353</v>
      </c>
      <c r="T79" s="6">
        <f t="shared" ca="1" si="48"/>
        <v>142.44926498677788</v>
      </c>
      <c r="U79" s="6">
        <f t="shared" ca="1" si="48"/>
        <v>148.36759278348177</v>
      </c>
    </row>
    <row r="80" spans="1:21" x14ac:dyDescent="0.2">
      <c r="A80" s="1" t="s">
        <v>176</v>
      </c>
      <c r="B80" s="4" t="str">
        <f t="shared" ref="B80:B86" si="49">$B$37</f>
        <v>From Fiscal</v>
      </c>
      <c r="D80" s="14">
        <f>'Fiscal Forecasts'!D$70</f>
        <v>4.7309999999999999</v>
      </c>
      <c r="E80" s="14">
        <f>'Fiscal Forecasts'!E$70</f>
        <v>4.6849999999999996</v>
      </c>
      <c r="F80" s="14">
        <f>'Fiscal Forecasts'!F$70</f>
        <v>4.5149999999999997</v>
      </c>
      <c r="G80" s="15">
        <f>'Fiscal Forecasts'!G$70</f>
        <v>4.5350000000000001</v>
      </c>
      <c r="H80" s="15">
        <f>'Fiscal Forecasts'!H$70</f>
        <v>4.71</v>
      </c>
      <c r="I80" s="15">
        <f>'Fiscal Forecasts'!I$70</f>
        <v>5.1559999999999997</v>
      </c>
      <c r="J80" s="15">
        <f>'Fiscal Forecasts'!J$70</f>
        <v>5.3890000000000002</v>
      </c>
      <c r="K80" s="15">
        <f>'Fiscal Forecasts'!K$70</f>
        <v>5.6870000000000003</v>
      </c>
      <c r="L80" s="6">
        <f ca="1">SUM(L$136,L$138,L$139)</f>
        <v>6.0129764525975222</v>
      </c>
      <c r="M80" s="6">
        <f t="shared" ref="M80:U80" ca="1" si="50">SUM(M$136,M$138,M$139)</f>
        <v>6.3892558717526668</v>
      </c>
      <c r="N80" s="6">
        <f t="shared" ca="1" si="50"/>
        <v>6.6292350771165198</v>
      </c>
      <c r="O80" s="6">
        <f t="shared" ca="1" si="50"/>
        <v>6.9965720586025064</v>
      </c>
      <c r="P80" s="6">
        <f t="shared" ca="1" si="50"/>
        <v>7.260475652261718</v>
      </c>
      <c r="Q80" s="6">
        <f t="shared" ca="1" si="50"/>
        <v>7.6809381674116501</v>
      </c>
      <c r="R80" s="6">
        <f t="shared" ca="1" si="50"/>
        <v>7.9608031365590124</v>
      </c>
      <c r="S80" s="6">
        <f t="shared" ca="1" si="50"/>
        <v>8.4013721363480158</v>
      </c>
      <c r="T80" s="6">
        <f t="shared" ca="1" si="50"/>
        <v>8.7072078222696678</v>
      </c>
      <c r="U80" s="6">
        <f t="shared" ca="1" si="50"/>
        <v>9.1910755269086675</v>
      </c>
    </row>
    <row r="81" spans="1:21" x14ac:dyDescent="0.2">
      <c r="A81" s="1" t="s">
        <v>143</v>
      </c>
      <c r="B81" s="4" t="str">
        <f t="shared" si="49"/>
        <v>From Fiscal</v>
      </c>
      <c r="D81" s="14">
        <f>'Fiscal Forecasts'!D$71</f>
        <v>17.231999999999999</v>
      </c>
      <c r="E81" s="14">
        <f>'Fiscal Forecasts'!E$71</f>
        <v>17.074000000000002</v>
      </c>
      <c r="F81" s="14">
        <f>'Fiscal Forecasts'!F$71</f>
        <v>16.948</v>
      </c>
      <c r="G81" s="15">
        <f>'Fiscal Forecasts'!G$71</f>
        <v>18.616</v>
      </c>
      <c r="H81" s="15">
        <f>'Fiscal Forecasts'!H$71</f>
        <v>19.260000000000002</v>
      </c>
      <c r="I81" s="15">
        <f>'Fiscal Forecasts'!I$71</f>
        <v>19.824000000000002</v>
      </c>
      <c r="J81" s="15">
        <f>'Fiscal Forecasts'!J$71</f>
        <v>20.350999999999999</v>
      </c>
      <c r="K81" s="15">
        <f>'Fiscal Forecasts'!K$71</f>
        <v>20.863</v>
      </c>
      <c r="L81" s="6">
        <f ca="1">L$144</f>
        <v>22.169597892253343</v>
      </c>
      <c r="M81" s="6">
        <f t="shared" ref="M81:U81" ca="1" si="51">M$144</f>
        <v>23.180441405425086</v>
      </c>
      <c r="N81" s="6">
        <f t="shared" ca="1" si="51"/>
        <v>24.213322684013107</v>
      </c>
      <c r="O81" s="6">
        <f t="shared" ca="1" si="51"/>
        <v>25.272651847570266</v>
      </c>
      <c r="P81" s="6">
        <f t="shared" ca="1" si="51"/>
        <v>26.367953725643751</v>
      </c>
      <c r="Q81" s="6">
        <f t="shared" ca="1" si="51"/>
        <v>27.500973167815832</v>
      </c>
      <c r="R81" s="6">
        <f t="shared" ca="1" si="51"/>
        <v>28.669760624912609</v>
      </c>
      <c r="S81" s="6">
        <f t="shared" ca="1" si="51"/>
        <v>29.877797077846132</v>
      </c>
      <c r="T81" s="6">
        <f t="shared" ca="1" si="51"/>
        <v>31.126181814505124</v>
      </c>
      <c r="U81" s="6">
        <f t="shared" ca="1" si="51"/>
        <v>32.418688628714506</v>
      </c>
    </row>
    <row r="82" spans="1:21" x14ac:dyDescent="0.2">
      <c r="A82" s="1" t="s">
        <v>1249</v>
      </c>
      <c r="B82" s="4" t="str">
        <f t="shared" si="49"/>
        <v>From Fiscal</v>
      </c>
      <c r="D82" s="14">
        <f>'Fiscal Forecasts'!D$72</f>
        <v>2.6680000000000001</v>
      </c>
      <c r="E82" s="14">
        <f>'Fiscal Forecasts'!E$72</f>
        <v>2.593</v>
      </c>
      <c r="F82" s="14">
        <f>'Fiscal Forecasts'!F$72</f>
        <v>2.431</v>
      </c>
      <c r="G82" s="15">
        <f>'Fiscal Forecasts'!G$72</f>
        <v>2.3730000000000002</v>
      </c>
      <c r="H82" s="15">
        <f>'Fiscal Forecasts'!H$72</f>
        <v>2.4620000000000002</v>
      </c>
      <c r="I82" s="15">
        <f>'Fiscal Forecasts'!I$72</f>
        <v>2.5089999999999999</v>
      </c>
      <c r="J82" s="15">
        <f>'Fiscal Forecasts'!J$72</f>
        <v>2.754</v>
      </c>
      <c r="K82" s="15">
        <f>'Fiscal Forecasts'!K$72</f>
        <v>2.7629999999999999</v>
      </c>
      <c r="L82" s="6">
        <f ca="1">SUM(L$148,L$149,L$151,L$152,L$153,L$323)</f>
        <v>2.7389972668411811</v>
      </c>
      <c r="M82" s="6">
        <f t="shared" ref="M82:U82" ca="1" si="52">SUM(M$148,M$149,M$151,M$152,M$153,M$323)</f>
        <v>2.9509804757200717</v>
      </c>
      <c r="N82" s="6">
        <f t="shared" ca="1" si="52"/>
        <v>3.1743738562367954</v>
      </c>
      <c r="O82" s="6">
        <f t="shared" ca="1" si="52"/>
        <v>3.4031881620566811</v>
      </c>
      <c r="P82" s="6">
        <f t="shared" ca="1" si="52"/>
        <v>3.6349179809715002</v>
      </c>
      <c r="Q82" s="6">
        <f t="shared" ca="1" si="52"/>
        <v>3.8727782889514062</v>
      </c>
      <c r="R82" s="6">
        <f t="shared" ca="1" si="52"/>
        <v>4.0933219506283693</v>
      </c>
      <c r="S82" s="6">
        <f t="shared" ca="1" si="52"/>
        <v>4.2945212167353732</v>
      </c>
      <c r="T82" s="6">
        <f t="shared" ca="1" si="52"/>
        <v>4.5034194989037948</v>
      </c>
      <c r="U82" s="6">
        <f t="shared" ca="1" si="52"/>
        <v>4.7210029586155313</v>
      </c>
    </row>
    <row r="83" spans="1:21" x14ac:dyDescent="0.2">
      <c r="A83" s="1" t="s">
        <v>177</v>
      </c>
      <c r="B83" s="4" t="str">
        <f t="shared" si="49"/>
        <v>From Fiscal</v>
      </c>
      <c r="D83" s="14">
        <f>'Fiscal Forecasts'!D$73</f>
        <v>4.5190000000000001</v>
      </c>
      <c r="E83" s="14">
        <f>'Fiscal Forecasts'!E$73</f>
        <v>4.968</v>
      </c>
      <c r="F83" s="14">
        <f>'Fiscal Forecasts'!F$73</f>
        <v>4.8819999999999997</v>
      </c>
      <c r="G83" s="15">
        <f>'Fiscal Forecasts'!G$73</f>
        <v>4.8689999999999998</v>
      </c>
      <c r="H83" s="15">
        <f>'Fiscal Forecasts'!H$73</f>
        <v>4.9089999999999998</v>
      </c>
      <c r="I83" s="15">
        <f>'Fiscal Forecasts'!I$73</f>
        <v>5.38</v>
      </c>
      <c r="J83" s="15">
        <f>'Fiscal Forecasts'!J$73</f>
        <v>5.5540000000000003</v>
      </c>
      <c r="K83" s="15">
        <f>'Fiscal Forecasts'!K$73</f>
        <v>5.6920000000000002</v>
      </c>
      <c r="L83" s="6">
        <f ca="1">SUM(L$162,L$168)</f>
        <v>6.1204721832958606</v>
      </c>
      <c r="M83" s="6">
        <f t="shared" ref="M83:U83" ca="1" si="53">SUM(M$162,M$168)</f>
        <v>6.4881791923246475</v>
      </c>
      <c r="N83" s="6">
        <f t="shared" ca="1" si="53"/>
        <v>6.8741257821464101</v>
      </c>
      <c r="O83" s="6">
        <f t="shared" ca="1" si="53"/>
        <v>7.2845460678766853</v>
      </c>
      <c r="P83" s="6">
        <f t="shared" ca="1" si="53"/>
        <v>7.7257386978991729</v>
      </c>
      <c r="Q83" s="6">
        <f t="shared" ca="1" si="53"/>
        <v>8.1595703015358634</v>
      </c>
      <c r="R83" s="6">
        <f t="shared" ca="1" si="53"/>
        <v>8.6258034260354428</v>
      </c>
      <c r="S83" s="6">
        <f t="shared" ca="1" si="53"/>
        <v>9.026167653356687</v>
      </c>
      <c r="T83" s="6">
        <f t="shared" ca="1" si="53"/>
        <v>9.4385323231796825</v>
      </c>
      <c r="U83" s="6">
        <f t="shared" ca="1" si="53"/>
        <v>9.863666520301738</v>
      </c>
    </row>
    <row r="84" spans="1:21" ht="15" x14ac:dyDescent="0.25">
      <c r="A84" s="2" t="s">
        <v>178</v>
      </c>
      <c r="D84" s="34">
        <f t="shared" ref="D84:U84" si="54">SUM(D$79:D$83)</f>
        <v>94.094999999999999</v>
      </c>
      <c r="E84" s="34">
        <f t="shared" si="54"/>
        <v>98.347000000000008</v>
      </c>
      <c r="F84" s="34">
        <f t="shared" si="54"/>
        <v>101.87500000000001</v>
      </c>
      <c r="G84" s="33">
        <f t="shared" si="54"/>
        <v>108.33799999999999</v>
      </c>
      <c r="H84" s="33">
        <f t="shared" si="54"/>
        <v>113.304</v>
      </c>
      <c r="I84" s="33">
        <f t="shared" si="54"/>
        <v>119.852</v>
      </c>
      <c r="J84" s="33">
        <f t="shared" si="54"/>
        <v>125.768</v>
      </c>
      <c r="K84" s="33">
        <f t="shared" si="54"/>
        <v>131.745</v>
      </c>
      <c r="L84" s="37">
        <f t="shared" ca="1" si="54"/>
        <v>138.14788854000773</v>
      </c>
      <c r="M84" s="37">
        <f t="shared" ca="1" si="54"/>
        <v>145.03086601947982</v>
      </c>
      <c r="N84" s="37">
        <f t="shared" ca="1" si="54"/>
        <v>151.67828473186265</v>
      </c>
      <c r="O84" s="37">
        <f t="shared" ca="1" si="54"/>
        <v>158.59877942680956</v>
      </c>
      <c r="P84" s="37">
        <f t="shared" ca="1" si="54"/>
        <v>165.64682312221487</v>
      </c>
      <c r="Q84" s="37">
        <f t="shared" ca="1" si="54"/>
        <v>173.06043256415279</v>
      </c>
      <c r="R84" s="37">
        <f t="shared" ca="1" si="54"/>
        <v>180.54937498047863</v>
      </c>
      <c r="S84" s="37">
        <f t="shared" ca="1" si="54"/>
        <v>188.33190015178974</v>
      </c>
      <c r="T84" s="37">
        <f t="shared" ca="1" si="54"/>
        <v>196.22460644563614</v>
      </c>
      <c r="U84" s="37">
        <f t="shared" ca="1" si="54"/>
        <v>204.56202641802221</v>
      </c>
    </row>
    <row r="85" spans="1:21" x14ac:dyDescent="0.2">
      <c r="A85" s="1" t="s">
        <v>146</v>
      </c>
      <c r="B85" s="4" t="str">
        <f t="shared" si="49"/>
        <v>From Fiscal</v>
      </c>
      <c r="D85" s="14">
        <f>'Fiscal Forecasts'!D$75</f>
        <v>23.896000000000001</v>
      </c>
      <c r="E85" s="14">
        <f>'Fiscal Forecasts'!E$75</f>
        <v>24.338000000000001</v>
      </c>
      <c r="F85" s="14">
        <f>'Fiscal Forecasts'!F$75</f>
        <v>25.292999999999999</v>
      </c>
      <c r="G85" s="15">
        <f>'Fiscal Forecasts'!G$75</f>
        <v>26.404</v>
      </c>
      <c r="H85" s="15">
        <f>'Fiscal Forecasts'!H$75</f>
        <v>29.308</v>
      </c>
      <c r="I85" s="15">
        <f>'Fiscal Forecasts'!I$75</f>
        <v>30.443000000000001</v>
      </c>
      <c r="J85" s="15">
        <f>'Fiscal Forecasts'!J$75</f>
        <v>31.709</v>
      </c>
      <c r="K85" s="15">
        <f>'Fiscal Forecasts'!K$75</f>
        <v>33.100999999999999</v>
      </c>
      <c r="L85" s="6">
        <f t="shared" ref="L85:U85" ca="1" si="55">L$182</f>
        <v>34.363565151060456</v>
      </c>
      <c r="M85" s="6">
        <f t="shared" ca="1" si="55"/>
        <v>36.108246773116122</v>
      </c>
      <c r="N85" s="6">
        <f t="shared" ca="1" si="55"/>
        <v>37.974275604287286</v>
      </c>
      <c r="O85" s="6">
        <f t="shared" ca="1" si="55"/>
        <v>39.960316226370615</v>
      </c>
      <c r="P85" s="6">
        <f t="shared" ca="1" si="55"/>
        <v>42.040429754017381</v>
      </c>
      <c r="Q85" s="6">
        <f t="shared" ca="1" si="55"/>
        <v>44.200502396927334</v>
      </c>
      <c r="R85" s="6">
        <f t="shared" ca="1" si="55"/>
        <v>46.410566163426076</v>
      </c>
      <c r="S85" s="6">
        <f t="shared" ca="1" si="55"/>
        <v>48.640953069460416</v>
      </c>
      <c r="T85" s="6">
        <f t="shared" ca="1" si="55"/>
        <v>50.93565712152116</v>
      </c>
      <c r="U85" s="6">
        <f t="shared" ca="1" si="55"/>
        <v>53.312754786873192</v>
      </c>
    </row>
    <row r="86" spans="1:21" x14ac:dyDescent="0.2">
      <c r="A86" s="1" t="s">
        <v>179</v>
      </c>
      <c r="B86" s="4" t="str">
        <f t="shared" si="49"/>
        <v>From Fiscal</v>
      </c>
      <c r="D86" s="14">
        <f>'Fiscal Forecasts'!D$76</f>
        <v>60.009</v>
      </c>
      <c r="E86" s="14">
        <f>'Fiscal Forecasts'!E$76</f>
        <v>61.16</v>
      </c>
      <c r="F86" s="14">
        <f>'Fiscal Forecasts'!F$76</f>
        <v>62.835999999999999</v>
      </c>
      <c r="G86" s="15">
        <f>'Fiscal Forecasts'!G$76</f>
        <v>69.05</v>
      </c>
      <c r="H86" s="15">
        <f>'Fiscal Forecasts'!H$76</f>
        <v>71.438000000000002</v>
      </c>
      <c r="I86" s="15">
        <f>'Fiscal Forecasts'!I$76</f>
        <v>71.552000000000007</v>
      </c>
      <c r="J86" s="15">
        <f>'Fiscal Forecasts'!J$76</f>
        <v>72.149000000000001</v>
      </c>
      <c r="K86" s="15">
        <f>'Fiscal Forecasts'!K$76</f>
        <v>72.98</v>
      </c>
      <c r="L86" s="6">
        <f ca="1">SUM(L$200,L$217,L$231)-SUM(L$210,L$254,L$264,L$304,L$462-K$462,L$467-K$467)</f>
        <v>73.870366009813026</v>
      </c>
      <c r="M86" s="6">
        <f t="shared" ref="M86:U86" ca="1" si="56">SUM(M$200,M$217,M$231)-SUM(M$210,M$254,M$264,M$304,M$462-L$462,M$467-L$467)</f>
        <v>75.320435119573247</v>
      </c>
      <c r="N86" s="6">
        <f t="shared" ca="1" si="56"/>
        <v>76.415697882956493</v>
      </c>
      <c r="O86" s="6">
        <f t="shared" ca="1" si="56"/>
        <v>77.491524483630528</v>
      </c>
      <c r="P86" s="6">
        <f t="shared" ca="1" si="56"/>
        <v>78.583126610749645</v>
      </c>
      <c r="Q86" s="6">
        <f t="shared" ca="1" si="56"/>
        <v>79.659029910679976</v>
      </c>
      <c r="R86" s="6">
        <f t="shared" ca="1" si="56"/>
        <v>80.805828189114266</v>
      </c>
      <c r="S86" s="6">
        <f t="shared" ca="1" si="56"/>
        <v>81.934516575999396</v>
      </c>
      <c r="T86" s="6">
        <f t="shared" ca="1" si="56"/>
        <v>83.10220500675878</v>
      </c>
      <c r="U86" s="6">
        <f t="shared" ca="1" si="56"/>
        <v>84.31291275891887</v>
      </c>
    </row>
    <row r="87" spans="1:21" x14ac:dyDescent="0.2">
      <c r="A87" s="1" t="s">
        <v>180</v>
      </c>
      <c r="B87" s="4"/>
      <c r="D87" s="14">
        <f>D$533</f>
        <v>4.5979999999999999</v>
      </c>
      <c r="E87" s="14">
        <f>E$533</f>
        <v>4.3330000000000002</v>
      </c>
      <c r="F87" s="14">
        <f>F$533</f>
        <v>4.1790000000000003</v>
      </c>
      <c r="G87" s="15">
        <f t="shared" ref="G87:U87" si="57">G$533</f>
        <v>4.08</v>
      </c>
      <c r="H87" s="15">
        <f t="shared" si="57"/>
        <v>4.0519999999999996</v>
      </c>
      <c r="I87" s="15">
        <f t="shared" si="57"/>
        <v>3.887</v>
      </c>
      <c r="J87" s="15">
        <f t="shared" si="57"/>
        <v>4.1189999999999998</v>
      </c>
      <c r="K87" s="15">
        <f t="shared" si="57"/>
        <v>3.76</v>
      </c>
      <c r="L87" s="6">
        <f t="shared" ca="1" si="57"/>
        <v>4.6708970265751262</v>
      </c>
      <c r="M87" s="6">
        <f t="shared" ca="1" si="57"/>
        <v>5.0777636079613995</v>
      </c>
      <c r="N87" s="6">
        <f t="shared" ca="1" si="57"/>
        <v>5.5835735129457076</v>
      </c>
      <c r="O87" s="6">
        <f t="shared" ca="1" si="57"/>
        <v>6.1658243652036022</v>
      </c>
      <c r="P87" s="6">
        <f t="shared" ca="1" si="57"/>
        <v>6.8394582202191794</v>
      </c>
      <c r="Q87" s="6">
        <f t="shared" ca="1" si="57"/>
        <v>7.594583156223444</v>
      </c>
      <c r="R87" s="6">
        <f t="shared" ca="1" si="57"/>
        <v>8.4129627384402017</v>
      </c>
      <c r="S87" s="6">
        <f t="shared" ca="1" si="57"/>
        <v>8.8485998255216014</v>
      </c>
      <c r="T87" s="6">
        <f t="shared" ca="1" si="57"/>
        <v>9.2918063323853151</v>
      </c>
      <c r="U87" s="6">
        <f t="shared" ca="1" si="57"/>
        <v>9.7447678478668855</v>
      </c>
    </row>
    <row r="88" spans="1:21" x14ac:dyDescent="0.2">
      <c r="A88" s="1" t="s">
        <v>674</v>
      </c>
      <c r="B88" s="4"/>
      <c r="D88" s="14">
        <f t="shared" ref="D88:U88" si="58">SUM(D$236,D$239)</f>
        <v>0</v>
      </c>
      <c r="E88" s="14">
        <f t="shared" si="58"/>
        <v>0</v>
      </c>
      <c r="F88" s="14">
        <f t="shared" si="58"/>
        <v>0</v>
      </c>
      <c r="G88" s="15">
        <f t="shared" si="58"/>
        <v>-0.11399999999999999</v>
      </c>
      <c r="H88" s="15">
        <f t="shared" si="58"/>
        <v>-0.38500000000000001</v>
      </c>
      <c r="I88" s="15">
        <f t="shared" si="58"/>
        <v>2.7449999999999992</v>
      </c>
      <c r="J88" s="15">
        <f t="shared" si="58"/>
        <v>5.3609999999999998</v>
      </c>
      <c r="K88" s="15">
        <f t="shared" si="58"/>
        <v>7.8539999999999992</v>
      </c>
      <c r="L88" s="6">
        <f t="shared" ca="1" si="58"/>
        <v>10.041625</v>
      </c>
      <c r="M88" s="6">
        <f t="shared" ca="1" si="58"/>
        <v>12.327693125</v>
      </c>
      <c r="N88" s="6">
        <f t="shared" ca="1" si="58"/>
        <v>14.716634315625001</v>
      </c>
      <c r="O88" s="6">
        <f t="shared" ca="1" si="58"/>
        <v>17.213077859828125</v>
      </c>
      <c r="P88" s="6">
        <f t="shared" ca="1" si="58"/>
        <v>19.821861363520391</v>
      </c>
      <c r="Q88" s="6">
        <f t="shared" ca="1" si="58"/>
        <v>22.54804012487881</v>
      </c>
      <c r="R88" s="6">
        <f t="shared" ca="1" si="58"/>
        <v>25.396896930498354</v>
      </c>
      <c r="S88" s="6">
        <f t="shared" ca="1" si="58"/>
        <v>28.373952292370781</v>
      </c>
      <c r="T88" s="6">
        <f t="shared" ca="1" si="58"/>
        <v>31.484975145527464</v>
      </c>
      <c r="U88" s="6">
        <f t="shared" ca="1" si="58"/>
        <v>34.735994027076195</v>
      </c>
    </row>
    <row r="89" spans="1:21" ht="15" x14ac:dyDescent="0.25">
      <c r="A89" s="2" t="s">
        <v>676</v>
      </c>
      <c r="D89" s="34">
        <f t="shared" ref="D89:U89" si="59">SUM(D$85:D$88)</f>
        <v>88.503</v>
      </c>
      <c r="E89" s="34">
        <f t="shared" si="59"/>
        <v>89.830999999999989</v>
      </c>
      <c r="F89" s="34">
        <f t="shared" si="59"/>
        <v>92.307999999999993</v>
      </c>
      <c r="G89" s="33">
        <f t="shared" si="59"/>
        <v>99.419999999999987</v>
      </c>
      <c r="H89" s="33">
        <f t="shared" si="59"/>
        <v>104.413</v>
      </c>
      <c r="I89" s="33">
        <f t="shared" si="59"/>
        <v>108.62700000000001</v>
      </c>
      <c r="J89" s="33">
        <f t="shared" si="59"/>
        <v>113.33800000000001</v>
      </c>
      <c r="K89" s="33">
        <f t="shared" si="59"/>
        <v>117.69500000000001</v>
      </c>
      <c r="L89" s="37">
        <f t="shared" ca="1" si="59"/>
        <v>122.9464531874486</v>
      </c>
      <c r="M89" s="37">
        <f t="shared" ca="1" si="59"/>
        <v>128.83413862565078</v>
      </c>
      <c r="N89" s="37">
        <f t="shared" ca="1" si="59"/>
        <v>134.69018131581447</v>
      </c>
      <c r="O89" s="37">
        <f t="shared" ca="1" si="59"/>
        <v>140.83074293503287</v>
      </c>
      <c r="P89" s="37">
        <f t="shared" ca="1" si="59"/>
        <v>147.2848759485066</v>
      </c>
      <c r="Q89" s="37">
        <f t="shared" ca="1" si="59"/>
        <v>154.00215558870957</v>
      </c>
      <c r="R89" s="37">
        <f t="shared" ca="1" si="59"/>
        <v>161.02625402147888</v>
      </c>
      <c r="S89" s="37">
        <f t="shared" ca="1" si="59"/>
        <v>167.79802176335218</v>
      </c>
      <c r="T89" s="37">
        <f t="shared" ca="1" si="59"/>
        <v>174.8146436061927</v>
      </c>
      <c r="U89" s="37">
        <f t="shared" ca="1" si="59"/>
        <v>182.10642942073514</v>
      </c>
    </row>
    <row r="90" spans="1:21" ht="15" x14ac:dyDescent="0.25">
      <c r="A90" s="2" t="s">
        <v>337</v>
      </c>
      <c r="D90" s="35">
        <f>SUM(D$84,-D$89)</f>
        <v>5.5919999999999987</v>
      </c>
      <c r="E90" s="35">
        <f>SUM(E$84,-E$89)</f>
        <v>8.5160000000000196</v>
      </c>
      <c r="F90" s="35">
        <f>SUM(F$84,-F$89)</f>
        <v>9.5670000000000215</v>
      </c>
      <c r="G90" s="36">
        <f t="shared" ref="G90:U90" si="60">SUM(G$84,-G$89)</f>
        <v>8.9180000000000064</v>
      </c>
      <c r="H90" s="36">
        <f t="shared" si="60"/>
        <v>8.8910000000000053</v>
      </c>
      <c r="I90" s="36">
        <f t="shared" si="60"/>
        <v>11.224999999999994</v>
      </c>
      <c r="J90" s="36">
        <f t="shared" si="60"/>
        <v>12.429999999999993</v>
      </c>
      <c r="K90" s="36">
        <f t="shared" si="60"/>
        <v>14.049999999999997</v>
      </c>
      <c r="L90" s="27">
        <f t="shared" ca="1" si="60"/>
        <v>15.20143535255913</v>
      </c>
      <c r="M90" s="27">
        <f t="shared" ca="1" si="60"/>
        <v>16.196727393829036</v>
      </c>
      <c r="N90" s="27">
        <f t="shared" ca="1" si="60"/>
        <v>16.988103416048176</v>
      </c>
      <c r="O90" s="27">
        <f t="shared" ca="1" si="60"/>
        <v>17.768036491776684</v>
      </c>
      <c r="P90" s="27">
        <f t="shared" ca="1" si="60"/>
        <v>18.361947173708273</v>
      </c>
      <c r="Q90" s="27">
        <f t="shared" ca="1" si="60"/>
        <v>19.058276975443221</v>
      </c>
      <c r="R90" s="27">
        <f t="shared" ca="1" si="60"/>
        <v>19.523120958999755</v>
      </c>
      <c r="S90" s="27">
        <f t="shared" ca="1" si="60"/>
        <v>20.533878388437557</v>
      </c>
      <c r="T90" s="27">
        <f t="shared" ca="1" si="60"/>
        <v>21.409962839443438</v>
      </c>
      <c r="U90" s="27">
        <f t="shared" ca="1" si="60"/>
        <v>22.455596997287074</v>
      </c>
    </row>
    <row r="91" spans="1:21" x14ac:dyDescent="0.2">
      <c r="A91" s="1" t="s">
        <v>683</v>
      </c>
      <c r="B91" s="4" t="str">
        <f t="shared" ref="B91:B100" si="61">$B$37</f>
        <v>From Fiscal</v>
      </c>
      <c r="D91" s="14">
        <f>-'Fiscal Forecasts'!D$80</f>
        <v>6.1769999999999996</v>
      </c>
      <c r="E91" s="14">
        <f>-'Fiscal Forecasts'!E$80</f>
        <v>6.1980000000000004</v>
      </c>
      <c r="F91" s="14">
        <f>-'Fiscal Forecasts'!F$80</f>
        <v>6.2089999999999996</v>
      </c>
      <c r="G91" s="15">
        <f>-'Fiscal Forecasts'!G$80</f>
        <v>9.218</v>
      </c>
      <c r="H91" s="15">
        <f>-'Fiscal Forecasts'!H$80</f>
        <v>10.191000000000001</v>
      </c>
      <c r="I91" s="15">
        <f>-'Fiscal Forecasts'!I$80</f>
        <v>8.3089999999999993</v>
      </c>
      <c r="J91" s="15">
        <f>-'Fiscal Forecasts'!J$80</f>
        <v>8.0869999999999997</v>
      </c>
      <c r="K91" s="15">
        <f>-'Fiscal Forecasts'!K$80</f>
        <v>6.7469999999999999</v>
      </c>
      <c r="L91" s="6">
        <f ca="1">SUM(L$411-K$411,L$206,L$40)</f>
        <v>6.6139866547202244</v>
      </c>
      <c r="M91" s="6">
        <f t="shared" ref="M91:U91" ca="1" si="62">SUM(M$411-L$411,M$206,M$40)</f>
        <v>6.959073773640533</v>
      </c>
      <c r="N91" s="6">
        <f t="shared" ca="1" si="62"/>
        <v>7.2720123772768259</v>
      </c>
      <c r="O91" s="6">
        <f t="shared" ca="1" si="62"/>
        <v>7.646805324825686</v>
      </c>
      <c r="P91" s="6">
        <f t="shared" ca="1" si="62"/>
        <v>8.080899772506049</v>
      </c>
      <c r="Q91" s="6">
        <f t="shared" ca="1" si="62"/>
        <v>8.5736156390464764</v>
      </c>
      <c r="R91" s="6">
        <f t="shared" ca="1" si="62"/>
        <v>9.0873825365971186</v>
      </c>
      <c r="S91" s="6">
        <f t="shared" ca="1" si="62"/>
        <v>9.6237054115675509</v>
      </c>
      <c r="T91" s="6">
        <f t="shared" ca="1" si="62"/>
        <v>10.183211844181812</v>
      </c>
      <c r="U91" s="6">
        <f t="shared" ca="1" si="62"/>
        <v>10.766895916828481</v>
      </c>
    </row>
    <row r="92" spans="1:21" x14ac:dyDescent="0.2">
      <c r="A92" s="1" t="s">
        <v>684</v>
      </c>
      <c r="B92" s="4" t="str">
        <f t="shared" si="61"/>
        <v>From Fiscal</v>
      </c>
      <c r="D92" s="14">
        <f>-'Fiscal Forecasts'!D$81</f>
        <v>4.9119999999999999</v>
      </c>
      <c r="E92" s="14">
        <f>-'Fiscal Forecasts'!E$81</f>
        <v>-1.41</v>
      </c>
      <c r="F92" s="14">
        <f>-'Fiscal Forecasts'!F$81</f>
        <v>-0.88900000000000001</v>
      </c>
      <c r="G92" s="15">
        <f>-'Fiscal Forecasts'!G$81</f>
        <v>3.54</v>
      </c>
      <c r="H92" s="15">
        <f>-'Fiscal Forecasts'!H$81</f>
        <v>-6.117</v>
      </c>
      <c r="I92" s="15">
        <f>-'Fiscal Forecasts'!I$81</f>
        <v>4.1790000000000003</v>
      </c>
      <c r="J92" s="15">
        <f>-'Fiscal Forecasts'!J$81</f>
        <v>1.5920000000000001</v>
      </c>
      <c r="K92" s="15">
        <f>-'Fiscal Forecasts'!K$81</f>
        <v>10.385</v>
      </c>
      <c r="L92" s="6">
        <f ca="1">SUM(L$354-K$354,L$363-K$363)-SUM(L$322,L$325,L$326,L$327)</f>
        <v>3.2623716459727308</v>
      </c>
      <c r="M92" s="6">
        <f t="shared" ref="M92:U92" ca="1" si="63">SUM(M$354-L$354,M$363-L$363)-SUM(M$322,M$325,M$326,M$327)</f>
        <v>2.9727993286337266</v>
      </c>
      <c r="N92" s="6">
        <f t="shared" ca="1" si="63"/>
        <v>2.9819581899329801</v>
      </c>
      <c r="O92" s="6">
        <f t="shared" ca="1" si="63"/>
        <v>3.0624588645623776</v>
      </c>
      <c r="P92" s="6">
        <f t="shared" ca="1" si="63"/>
        <v>3.0722100404860369</v>
      </c>
      <c r="Q92" s="6">
        <f t="shared" ca="1" si="63"/>
        <v>3.2364245930342079</v>
      </c>
      <c r="R92" s="6">
        <f t="shared" ca="1" si="63"/>
        <v>3.0111025606544866</v>
      </c>
      <c r="S92" s="6">
        <f t="shared" ca="1" si="63"/>
        <v>2.9102569377196712</v>
      </c>
      <c r="T92" s="6">
        <f t="shared" ca="1" si="63"/>
        <v>2.7271617156374539</v>
      </c>
      <c r="U92" s="6">
        <f t="shared" ca="1" si="63"/>
        <v>2.6439021276605796</v>
      </c>
    </row>
    <row r="93" spans="1:21" x14ac:dyDescent="0.2">
      <c r="A93" s="1" t="s">
        <v>685</v>
      </c>
      <c r="B93" s="4" t="str">
        <f t="shared" si="61"/>
        <v>From Fiscal</v>
      </c>
      <c r="D93" s="14">
        <f>-'Fiscal Forecasts'!D$82</f>
        <v>0.63100000000000001</v>
      </c>
      <c r="E93" s="14">
        <f>-'Fiscal Forecasts'!E$82</f>
        <v>0.68700000000000006</v>
      </c>
      <c r="F93" s="14">
        <f>-'Fiscal Forecasts'!F$82</f>
        <v>0.748</v>
      </c>
      <c r="G93" s="15">
        <f>-'Fiscal Forecasts'!G$82</f>
        <v>0.85899999999999999</v>
      </c>
      <c r="H93" s="15">
        <f>-'Fiscal Forecasts'!H$82</f>
        <v>0.72299999999999998</v>
      </c>
      <c r="I93" s="15">
        <f>-'Fiscal Forecasts'!I$82</f>
        <v>0.626</v>
      </c>
      <c r="J93" s="15">
        <f>-'Fiscal Forecasts'!J$82</f>
        <v>0.61299999999999999</v>
      </c>
      <c r="K93" s="15">
        <f>-'Fiscal Forecasts'!K$82</f>
        <v>0.46500000000000002</v>
      </c>
      <c r="L93" s="6">
        <f ca="1">SUM(L$429-K$429,L$210)</f>
        <v>1.0453559095529767</v>
      </c>
      <c r="M93" s="6">
        <f t="shared" ref="M93:U93" ca="1" si="64">SUM(M$429-L$429,M$210)</f>
        <v>1.0866950001416149</v>
      </c>
      <c r="N93" s="6">
        <f t="shared" ca="1" si="64"/>
        <v>1.1257988287291594</v>
      </c>
      <c r="O93" s="6">
        <f t="shared" ca="1" si="64"/>
        <v>1.1624426249917388</v>
      </c>
      <c r="P93" s="6">
        <f t="shared" ca="1" si="64"/>
        <v>1.1975615981008736</v>
      </c>
      <c r="Q93" s="6">
        <f t="shared" ca="1" si="64"/>
        <v>1.2291454230207857</v>
      </c>
      <c r="R93" s="6">
        <f t="shared" ca="1" si="64"/>
        <v>1.2788739201742343</v>
      </c>
      <c r="S93" s="6">
        <f t="shared" ca="1" si="64"/>
        <v>1.3307343897305501</v>
      </c>
      <c r="T93" s="6">
        <f t="shared" ca="1" si="64"/>
        <v>1.384284104874701</v>
      </c>
      <c r="U93" s="6">
        <f t="shared" ca="1" si="64"/>
        <v>1.4402022471527354</v>
      </c>
    </row>
    <row r="94" spans="1:21" x14ac:dyDescent="0.2">
      <c r="A94" s="1" t="s">
        <v>686</v>
      </c>
      <c r="B94" s="4" t="str">
        <f t="shared" si="61"/>
        <v>From Fiscal</v>
      </c>
      <c r="D94" s="14">
        <f>-'Fiscal Forecasts'!D$83</f>
        <v>1.6859999999999999</v>
      </c>
      <c r="E94" s="14">
        <f>-'Fiscal Forecasts'!E$83</f>
        <v>1.702</v>
      </c>
      <c r="F94" s="14">
        <f>-'Fiscal Forecasts'!F$83</f>
        <v>0.98899999999999999</v>
      </c>
      <c r="G94" s="15">
        <f>-'Fiscal Forecasts'!G$83</f>
        <v>0.214</v>
      </c>
      <c r="H94" s="15">
        <f>-'Fiscal Forecasts'!H$83</f>
        <v>0.20300000000000001</v>
      </c>
      <c r="I94" s="15">
        <f>-'Fiscal Forecasts'!I$83</f>
        <v>0.23300000000000001</v>
      </c>
      <c r="J94" s="15">
        <f>-'Fiscal Forecasts'!J$83</f>
        <v>0.253</v>
      </c>
      <c r="K94" s="15">
        <f>-'Fiscal Forecasts'!K$83</f>
        <v>0.25900000000000001</v>
      </c>
      <c r="L94" s="6">
        <f ca="1">SUM(L$386-K$386,-L$147,L$254)</f>
        <v>0.98584274086067369</v>
      </c>
      <c r="M94" s="6">
        <f t="shared" ref="M94:U94" ca="1" si="65">SUM(M$386-L$386,-M$147,M$254)</f>
        <v>1.1965321235778559</v>
      </c>
      <c r="N94" s="6">
        <f t="shared" ca="1" si="65"/>
        <v>1.2576537207651173</v>
      </c>
      <c r="O94" s="6">
        <f t="shared" ca="1" si="65"/>
        <v>1.3201387063798524</v>
      </c>
      <c r="P94" s="6">
        <f t="shared" ca="1" si="65"/>
        <v>1.3986374896908664</v>
      </c>
      <c r="Q94" s="6">
        <f t="shared" ca="1" si="65"/>
        <v>1.4765563006909499</v>
      </c>
      <c r="R94" s="6">
        <f t="shared" ca="1" si="65"/>
        <v>1.5482286431103063</v>
      </c>
      <c r="S94" s="6">
        <f t="shared" ca="1" si="65"/>
        <v>1.6196610482736671</v>
      </c>
      <c r="T94" s="6">
        <f t="shared" ca="1" si="65"/>
        <v>1.690658539959454</v>
      </c>
      <c r="U94" s="6">
        <f t="shared" ca="1" si="65"/>
        <v>1.7598567401978076</v>
      </c>
    </row>
    <row r="95" spans="1:21" x14ac:dyDescent="0.2">
      <c r="A95" s="1" t="s">
        <v>687</v>
      </c>
      <c r="B95" s="4" t="str">
        <f t="shared" si="61"/>
        <v>From Fiscal</v>
      </c>
      <c r="D95" s="14">
        <f>-'Fiscal Forecasts'!D$84</f>
        <v>-0.73199999999999998</v>
      </c>
      <c r="E95" s="14">
        <f>-'Fiscal Forecasts'!E$84</f>
        <v>-0.113</v>
      </c>
      <c r="F95" s="14">
        <f>-'Fiscal Forecasts'!F$84</f>
        <v>0.14799999999999999</v>
      </c>
      <c r="G95" s="15">
        <f>-'Fiscal Forecasts'!G$84</f>
        <v>0.24299999999999999</v>
      </c>
      <c r="H95" s="15">
        <f>-'Fiscal Forecasts'!H$84</f>
        <v>0.42</v>
      </c>
      <c r="I95" s="15">
        <f>-'Fiscal Forecasts'!I$84</f>
        <v>0.22900000000000001</v>
      </c>
      <c r="J95" s="15">
        <f>-'Fiscal Forecasts'!J$84</f>
        <v>0.14199999999999999</v>
      </c>
      <c r="K95" s="15">
        <f>-'Fiscal Forecasts'!K$84</f>
        <v>0.29399999999999998</v>
      </c>
      <c r="L95" s="6">
        <f t="shared" ref="L95:U95" ca="1" si="66">SUM(L$423-K$423,-L$332)</f>
        <v>0.10429347770769137</v>
      </c>
      <c r="M95" s="6">
        <f t="shared" ca="1" si="66"/>
        <v>0.12261206301814387</v>
      </c>
      <c r="N95" s="6">
        <f t="shared" ca="1" si="66"/>
        <v>0.12807544924990233</v>
      </c>
      <c r="O95" s="6">
        <f t="shared" ca="1" si="66"/>
        <v>0.13367873056311325</v>
      </c>
      <c r="P95" s="6">
        <f t="shared" ca="1" si="66"/>
        <v>0.13947228818134039</v>
      </c>
      <c r="Q95" s="6">
        <f t="shared" ca="1" si="66"/>
        <v>0.14546535142006789</v>
      </c>
      <c r="R95" s="6">
        <f t="shared" ca="1" si="66"/>
        <v>0.15164760821310846</v>
      </c>
      <c r="S95" s="6">
        <f t="shared" ca="1" si="66"/>
        <v>0.15803747107657462</v>
      </c>
      <c r="T95" s="6">
        <f t="shared" ca="1" si="66"/>
        <v>0.16464075465194061</v>
      </c>
      <c r="U95" s="6">
        <f t="shared" ca="1" si="66"/>
        <v>0.17147742027808033</v>
      </c>
    </row>
    <row r="96" spans="1:21" x14ac:dyDescent="0.2">
      <c r="A96" s="1" t="s">
        <v>672</v>
      </c>
      <c r="B96" s="4"/>
      <c r="D96" s="14">
        <f>SUM(D$441-C$441,D$442-C$442)</f>
        <v>0</v>
      </c>
      <c r="E96" s="14">
        <f>SUM(E$441-D$441,E$442-D$442)</f>
        <v>0</v>
      </c>
      <c r="F96" s="14">
        <f>SUM(F$441-E$441,F$442-E$442)</f>
        <v>0</v>
      </c>
      <c r="G96" s="15">
        <f>SUM(G$441-F$441,G$442-F$442)</f>
        <v>-0.3</v>
      </c>
      <c r="H96" s="15">
        <f t="shared" ref="H96:U96" si="67">SUM(H$441-G$441,H$442-G$442)</f>
        <v>0.66699999999999993</v>
      </c>
      <c r="I96" s="15">
        <f t="shared" si="67"/>
        <v>1.3920000000000001</v>
      </c>
      <c r="J96" s="15">
        <f t="shared" si="67"/>
        <v>2.1069999999999998</v>
      </c>
      <c r="K96" s="15">
        <f t="shared" si="67"/>
        <v>2.7090000000000005</v>
      </c>
      <c r="L96" s="6">
        <f t="shared" ca="1" si="67"/>
        <v>3.9284250000000007</v>
      </c>
      <c r="M96" s="6">
        <f t="shared" ca="1" si="67"/>
        <v>5.6139178750000003</v>
      </c>
      <c r="N96" s="6">
        <f t="shared" ca="1" si="67"/>
        <v>7.239622929374999</v>
      </c>
      <c r="O96" s="6">
        <f t="shared" ca="1" si="67"/>
        <v>8.7745547111968722</v>
      </c>
      <c r="P96" s="6">
        <f t="shared" ca="1" si="67"/>
        <v>10.314658423200733</v>
      </c>
      <c r="Q96" s="6">
        <f t="shared" ca="1" si="67"/>
        <v>10.778818052244761</v>
      </c>
      <c r="R96" s="6">
        <f t="shared" ca="1" si="67"/>
        <v>11.263864864595774</v>
      </c>
      <c r="S96" s="6">
        <f t="shared" ca="1" si="67"/>
        <v>11.770738783502583</v>
      </c>
      <c r="T96" s="6">
        <f t="shared" ca="1" si="67"/>
        <v>12.300422028760201</v>
      </c>
      <c r="U96" s="6">
        <f t="shared" ca="1" si="67"/>
        <v>12.853941020054418</v>
      </c>
    </row>
    <row r="97" spans="1:21" ht="15" x14ac:dyDescent="0.25">
      <c r="A97" s="2" t="s">
        <v>677</v>
      </c>
      <c r="D97" s="34">
        <f t="shared" ref="D97:U97" si="68">-SUM(D$91:D$96)</f>
        <v>-12.673999999999999</v>
      </c>
      <c r="E97" s="34">
        <f t="shared" si="68"/>
        <v>-7.0640000000000001</v>
      </c>
      <c r="F97" s="34">
        <f t="shared" si="68"/>
        <v>-7.2049999999999992</v>
      </c>
      <c r="G97" s="33">
        <f t="shared" si="68"/>
        <v>-13.773999999999999</v>
      </c>
      <c r="H97" s="33">
        <f t="shared" si="68"/>
        <v>-6.0870000000000006</v>
      </c>
      <c r="I97" s="33">
        <f t="shared" si="68"/>
        <v>-14.967999999999998</v>
      </c>
      <c r="J97" s="33">
        <f t="shared" si="68"/>
        <v>-12.793999999999999</v>
      </c>
      <c r="K97" s="33">
        <f t="shared" si="68"/>
        <v>-20.858999999999998</v>
      </c>
      <c r="L97" s="37">
        <f t="shared" ca="1" si="68"/>
        <v>-15.940275428814296</v>
      </c>
      <c r="M97" s="37">
        <f t="shared" ca="1" si="68"/>
        <v>-17.951630164011874</v>
      </c>
      <c r="N97" s="37">
        <f t="shared" ca="1" si="68"/>
        <v>-20.005121495328982</v>
      </c>
      <c r="O97" s="37">
        <f t="shared" ca="1" si="68"/>
        <v>-22.100078962519639</v>
      </c>
      <c r="P97" s="37">
        <f t="shared" ca="1" si="68"/>
        <v>-24.203439612165898</v>
      </c>
      <c r="Q97" s="37">
        <f t="shared" ca="1" si="68"/>
        <v>-25.440025359457248</v>
      </c>
      <c r="R97" s="37">
        <f t="shared" ca="1" si="68"/>
        <v>-26.34110013334503</v>
      </c>
      <c r="S97" s="37">
        <f t="shared" ca="1" si="68"/>
        <v>-27.413134041870599</v>
      </c>
      <c r="T97" s="37">
        <f t="shared" ca="1" si="68"/>
        <v>-28.450378988065566</v>
      </c>
      <c r="U97" s="37">
        <f t="shared" ca="1" si="68"/>
        <v>-29.636275472172102</v>
      </c>
    </row>
    <row r="98" spans="1:21" x14ac:dyDescent="0.2">
      <c r="A98" s="1" t="s">
        <v>188</v>
      </c>
      <c r="B98" s="4" t="str">
        <f t="shared" si="61"/>
        <v>From Fiscal</v>
      </c>
      <c r="D98" s="14">
        <f>'Fiscal Forecasts'!D$87</f>
        <v>0.372</v>
      </c>
      <c r="E98" s="14">
        <f>'Fiscal Forecasts'!E$87</f>
        <v>0.378</v>
      </c>
      <c r="F98" s="14">
        <f>'Fiscal Forecasts'!F$87</f>
        <v>0.26500000000000001</v>
      </c>
      <c r="G98" s="15">
        <f>'Fiscal Forecasts'!G$87</f>
        <v>0.46</v>
      </c>
      <c r="H98" s="15">
        <f>'Fiscal Forecasts'!H$87</f>
        <v>0.19600000000000001</v>
      </c>
      <c r="I98" s="15">
        <f>'Fiscal Forecasts'!I$87</f>
        <v>0.20200000000000001</v>
      </c>
      <c r="J98" s="15">
        <f>'Fiscal Forecasts'!J$87</f>
        <v>0.20799999999999999</v>
      </c>
      <c r="K98" s="15">
        <f>'Fiscal Forecasts'!K$87</f>
        <v>0.214</v>
      </c>
      <c r="L98" s="6">
        <f t="shared" ref="L98:U98" ca="1" si="69">L$445-K$445</f>
        <v>0.37752846600355738</v>
      </c>
      <c r="M98" s="6">
        <f t="shared" ca="1" si="69"/>
        <v>0.37923488856834986</v>
      </c>
      <c r="N98" s="6">
        <f t="shared" ca="1" si="69"/>
        <v>0.3814952091130035</v>
      </c>
      <c r="O98" s="6">
        <f t="shared" ca="1" si="69"/>
        <v>0.38431860230770454</v>
      </c>
      <c r="P98" s="6">
        <f t="shared" ca="1" si="69"/>
        <v>0.38944590314491734</v>
      </c>
      <c r="Q98" s="6">
        <f t="shared" ca="1" si="69"/>
        <v>0.39411782080294699</v>
      </c>
      <c r="R98" s="6">
        <f t="shared" ca="1" si="69"/>
        <v>0.40655963033584008</v>
      </c>
      <c r="S98" s="6">
        <f t="shared" ca="1" si="69"/>
        <v>0.42021228988617132</v>
      </c>
      <c r="T98" s="6">
        <f t="shared" ca="1" si="69"/>
        <v>0.4342473338255175</v>
      </c>
      <c r="U98" s="6">
        <f t="shared" ca="1" si="69"/>
        <v>0.44959508198076925</v>
      </c>
    </row>
    <row r="99" spans="1:21" x14ac:dyDescent="0.2">
      <c r="A99" s="1" t="s">
        <v>339</v>
      </c>
      <c r="B99" s="4" t="str">
        <f t="shared" si="61"/>
        <v>From Fiscal</v>
      </c>
      <c r="D99" s="14">
        <f>SUM('Fiscal Forecasts'!D$88:D$90)</f>
        <v>6.3040000000000003</v>
      </c>
      <c r="E99" s="14">
        <f>SUM('Fiscal Forecasts'!E$88:E$90)</f>
        <v>2.4990000000000006</v>
      </c>
      <c r="F99" s="14">
        <f>SUM('Fiscal Forecasts'!F$88:F$90)</f>
        <v>1.5660000000000003</v>
      </c>
      <c r="G99" s="15">
        <f>SUM('Fiscal Forecasts'!G$88:G$90)</f>
        <v>3.7710000000000008</v>
      </c>
      <c r="H99" s="15">
        <f>SUM('Fiscal Forecasts'!H$88:H$90)</f>
        <v>-3.5619999999999998</v>
      </c>
      <c r="I99" s="15">
        <f>SUM('Fiscal Forecasts'!I$88:I$90)</f>
        <v>3.9980000000000002</v>
      </c>
      <c r="J99" s="15">
        <f>SUM('Fiscal Forecasts'!J$88:J$90)</f>
        <v>0.8360000000000003</v>
      </c>
      <c r="K99" s="15">
        <f>SUM('Fiscal Forecasts'!K$88:K$90)</f>
        <v>6.9030000000000005</v>
      </c>
      <c r="L99" s="6">
        <f ca="1">SUM(L$338-K$338,L$100)-SUM(L$90,L$97,L$98)</f>
        <v>0.41444376421632534</v>
      </c>
      <c r="M99" s="6">
        <f t="shared" ref="M99:U99" ca="1" si="70">SUM(M$338-L$338,M$100)-SUM(M$90,M$97,M$98)</f>
        <v>3.3938588146140249</v>
      </c>
      <c r="N99" s="6">
        <f t="shared" ca="1" si="70"/>
        <v>4.6024258990959428</v>
      </c>
      <c r="O99" s="6">
        <f t="shared" ca="1" si="70"/>
        <v>5.8494950196732045</v>
      </c>
      <c r="P99" s="6">
        <f t="shared" ca="1" si="70"/>
        <v>7.27739259994833</v>
      </c>
      <c r="Q99" s="6">
        <f t="shared" ca="1" si="70"/>
        <v>7.7117122555763808</v>
      </c>
      <c r="R99" s="6">
        <f t="shared" ca="1" si="70"/>
        <v>8.1736353103630606</v>
      </c>
      <c r="S99" s="6">
        <f t="shared" ca="1" si="70"/>
        <v>8.2655000511990426</v>
      </c>
      <c r="T99" s="6">
        <f t="shared" ca="1" si="70"/>
        <v>8.4592737927146384</v>
      </c>
      <c r="U99" s="6">
        <f t="shared" ca="1" si="70"/>
        <v>8.6336135839483887</v>
      </c>
    </row>
    <row r="100" spans="1:21" x14ac:dyDescent="0.2">
      <c r="A100" s="1" t="s">
        <v>1209</v>
      </c>
      <c r="B100" s="4" t="str">
        <f t="shared" si="61"/>
        <v>From Fiscal</v>
      </c>
      <c r="D100" s="14">
        <f>-'Fiscal Forecasts'!D$91</f>
        <v>0.47799999999999998</v>
      </c>
      <c r="E100" s="14">
        <f>-'Fiscal Forecasts'!E$91</f>
        <v>0.50900000000000001</v>
      </c>
      <c r="F100" s="14">
        <f>-'Fiscal Forecasts'!F$91</f>
        <v>0.65600000000000003</v>
      </c>
      <c r="G100" s="15">
        <f>-'Fiscal Forecasts'!G$91</f>
        <v>0.56000000000000005</v>
      </c>
      <c r="H100" s="15">
        <f>-'Fiscal Forecasts'!H$91</f>
        <v>0.53200000000000003</v>
      </c>
      <c r="I100" s="15">
        <f>-'Fiscal Forecasts'!I$91</f>
        <v>0.56699999999999995</v>
      </c>
      <c r="J100" s="15">
        <f>-'Fiscal Forecasts'!J$91</f>
        <v>0.57799999999999996</v>
      </c>
      <c r="K100" s="15">
        <f>-'Fiscal Forecasts'!K$91</f>
        <v>0.57899999999999996</v>
      </c>
      <c r="L100" s="6">
        <f t="shared" ref="L100:U100" ca="1" si="71">L$37</f>
        <v>0.50270383928431095</v>
      </c>
      <c r="M100" s="6">
        <f t="shared" ca="1" si="71"/>
        <v>0.50889062576957655</v>
      </c>
      <c r="N100" s="6">
        <f t="shared" ca="1" si="71"/>
        <v>0.51535308500082178</v>
      </c>
      <c r="O100" s="6">
        <f t="shared" ca="1" si="71"/>
        <v>0.52209827583488311</v>
      </c>
      <c r="P100" s="6">
        <f t="shared" ca="1" si="71"/>
        <v>0.52913579927547394</v>
      </c>
      <c r="Q100" s="6">
        <f t="shared" ca="1" si="71"/>
        <v>0.53647572202114158</v>
      </c>
      <c r="R100" s="6">
        <f t="shared" ca="1" si="71"/>
        <v>0.5441275904419256</v>
      </c>
      <c r="S100" s="6">
        <f t="shared" ca="1" si="71"/>
        <v>0.55210187997066007</v>
      </c>
      <c r="T100" s="6">
        <f t="shared" ca="1" si="71"/>
        <v>0.56040935943663905</v>
      </c>
      <c r="U100" s="6">
        <f t="shared" ca="1" si="71"/>
        <v>0.56906180488279101</v>
      </c>
    </row>
    <row r="101" spans="1:21" ht="15" x14ac:dyDescent="0.25">
      <c r="A101" s="2" t="s">
        <v>341</v>
      </c>
      <c r="D101" s="34">
        <f>SUM(D$98,D$99,-D$100)</f>
        <v>6.1980000000000004</v>
      </c>
      <c r="E101" s="34">
        <f>SUM(E$98,E$99,-E$100)</f>
        <v>2.3680000000000008</v>
      </c>
      <c r="F101" s="34">
        <f>SUM(F$98,F$99,-F$100)</f>
        <v>1.1750000000000003</v>
      </c>
      <c r="G101" s="33">
        <f t="shared" ref="G101:U101" si="72">SUM(G$98,G$99,-G$100)</f>
        <v>3.6710000000000007</v>
      </c>
      <c r="H101" s="33">
        <f t="shared" si="72"/>
        <v>-3.8979999999999997</v>
      </c>
      <c r="I101" s="33">
        <f t="shared" si="72"/>
        <v>3.633</v>
      </c>
      <c r="J101" s="33">
        <f t="shared" si="72"/>
        <v>0.4660000000000003</v>
      </c>
      <c r="K101" s="33">
        <f t="shared" si="72"/>
        <v>6.5380000000000011</v>
      </c>
      <c r="L101" s="37">
        <f t="shared" ca="1" si="72"/>
        <v>0.28926839093557177</v>
      </c>
      <c r="M101" s="37">
        <f t="shared" ca="1" si="72"/>
        <v>3.2642030774127981</v>
      </c>
      <c r="N101" s="37">
        <f t="shared" ca="1" si="72"/>
        <v>4.4685680232081246</v>
      </c>
      <c r="O101" s="37">
        <f t="shared" ca="1" si="72"/>
        <v>5.7117153461460255</v>
      </c>
      <c r="P101" s="37">
        <f t="shared" ca="1" si="72"/>
        <v>7.1377027038177729</v>
      </c>
      <c r="Q101" s="37">
        <f t="shared" ca="1" si="72"/>
        <v>7.5693543543581852</v>
      </c>
      <c r="R101" s="37">
        <f t="shared" ca="1" si="72"/>
        <v>8.0360673502569746</v>
      </c>
      <c r="S101" s="37">
        <f t="shared" ca="1" si="72"/>
        <v>8.1336104611145537</v>
      </c>
      <c r="T101" s="37">
        <f t="shared" ca="1" si="72"/>
        <v>8.3331117671035173</v>
      </c>
      <c r="U101" s="37">
        <f t="shared" ca="1" si="72"/>
        <v>8.5141468610463669</v>
      </c>
    </row>
    <row r="102" spans="1:21" ht="15" x14ac:dyDescent="0.25">
      <c r="A102" s="2" t="s">
        <v>194</v>
      </c>
      <c r="D102" s="35">
        <f t="shared" ref="D102:U102" si="73">SUM(D$90,D$97,D$101)</f>
        <v>-0.88400000000000034</v>
      </c>
      <c r="E102" s="35">
        <f t="shared" si="73"/>
        <v>3.8200000000000203</v>
      </c>
      <c r="F102" s="35">
        <f t="shared" si="73"/>
        <v>3.5370000000000226</v>
      </c>
      <c r="G102" s="36">
        <f t="shared" si="73"/>
        <v>-1.1849999999999921</v>
      </c>
      <c r="H102" s="36">
        <f t="shared" si="73"/>
        <v>-1.093999999999995</v>
      </c>
      <c r="I102" s="36">
        <f t="shared" si="73"/>
        <v>-0.11000000000000387</v>
      </c>
      <c r="J102" s="36">
        <f t="shared" si="73"/>
        <v>0.10199999999999421</v>
      </c>
      <c r="K102" s="36">
        <f t="shared" si="73"/>
        <v>-0.27099999999999991</v>
      </c>
      <c r="L102" s="27">
        <f t="shared" ca="1" si="73"/>
        <v>-0.44957168531959368</v>
      </c>
      <c r="M102" s="27">
        <f t="shared" ca="1" si="73"/>
        <v>1.5093003072299602</v>
      </c>
      <c r="N102" s="27">
        <f t="shared" ca="1" si="73"/>
        <v>1.4515499439273185</v>
      </c>
      <c r="O102" s="27">
        <f t="shared" ca="1" si="73"/>
        <v>1.3796728754030703</v>
      </c>
      <c r="P102" s="27">
        <f t="shared" ca="1" si="73"/>
        <v>1.2962102653601484</v>
      </c>
      <c r="Q102" s="27">
        <f t="shared" ca="1" si="73"/>
        <v>1.1876059703441575</v>
      </c>
      <c r="R102" s="27">
        <f t="shared" ca="1" si="73"/>
        <v>1.2180881759116993</v>
      </c>
      <c r="S102" s="27">
        <f t="shared" ca="1" si="73"/>
        <v>1.2543548076815121</v>
      </c>
      <c r="T102" s="27">
        <f t="shared" ca="1" si="73"/>
        <v>1.2926956184813889</v>
      </c>
      <c r="U102" s="27">
        <f t="shared" ca="1" si="73"/>
        <v>1.3334683861613392</v>
      </c>
    </row>
    <row r="103" spans="1:21" x14ac:dyDescent="0.2">
      <c r="A103" s="18" t="s">
        <v>340</v>
      </c>
    </row>
    <row r="104" spans="1:21" ht="15" x14ac:dyDescent="0.25">
      <c r="A104" s="2" t="s">
        <v>680</v>
      </c>
      <c r="D104" s="34">
        <f t="shared" ref="D104:U104" si="74">SUM(D$328,-D$40)</f>
        <v>4.3289999999999997</v>
      </c>
      <c r="E104" s="34">
        <f t="shared" si="74"/>
        <v>-7.5069999999999997</v>
      </c>
      <c r="F104" s="34">
        <f t="shared" si="74"/>
        <v>7.6779999999999999</v>
      </c>
      <c r="G104" s="33">
        <f t="shared" si="74"/>
        <v>3.6550000000000007</v>
      </c>
      <c r="H104" s="33">
        <f t="shared" si="74"/>
        <v>2.7869999999999999</v>
      </c>
      <c r="I104" s="33">
        <f t="shared" si="74"/>
        <v>3.1339999999999999</v>
      </c>
      <c r="J104" s="33">
        <f t="shared" si="74"/>
        <v>3.548</v>
      </c>
      <c r="K104" s="33">
        <f t="shared" si="74"/>
        <v>4.0330000000000004</v>
      </c>
      <c r="L104" s="37">
        <f t="shared" ca="1" si="74"/>
        <v>3.6005643847832016</v>
      </c>
      <c r="M104" s="37">
        <f t="shared" ca="1" si="74"/>
        <v>4.0353821762152009</v>
      </c>
      <c r="N104" s="37">
        <f t="shared" ca="1" si="74"/>
        <v>4.5043439754169139</v>
      </c>
      <c r="O104" s="37">
        <f t="shared" ca="1" si="74"/>
        <v>5.0061751962340875</v>
      </c>
      <c r="P104" s="37">
        <f t="shared" ca="1" si="74"/>
        <v>5.5407809100181984</v>
      </c>
      <c r="Q104" s="37">
        <f t="shared" ca="1" si="74"/>
        <v>5.9784322958660736</v>
      </c>
      <c r="R104" s="37">
        <f t="shared" ca="1" si="74"/>
        <v>6.4142544808594062</v>
      </c>
      <c r="S104" s="37">
        <f t="shared" ca="1" si="74"/>
        <v>6.8591533630158255</v>
      </c>
      <c r="T104" s="37">
        <f t="shared" ca="1" si="74"/>
        <v>7.3162374131483947</v>
      </c>
      <c r="U104" s="37">
        <f t="shared" ca="1" si="74"/>
        <v>7.7862805721794643</v>
      </c>
    </row>
    <row r="105" spans="1:21" x14ac:dyDescent="0.2">
      <c r="A105" s="1" t="s">
        <v>1283</v>
      </c>
      <c r="D105" s="53">
        <f t="shared" ref="D105:U105" si="75">D$206</f>
        <v>4.0449999999999999</v>
      </c>
      <c r="E105" s="53">
        <f t="shared" si="75"/>
        <v>4.1669999999999998</v>
      </c>
      <c r="F105" s="53">
        <f t="shared" si="75"/>
        <v>4.3610000000000007</v>
      </c>
      <c r="G105" s="43">
        <f t="shared" si="75"/>
        <v>4.7770000000000001</v>
      </c>
      <c r="H105" s="43">
        <f t="shared" si="75"/>
        <v>4.84</v>
      </c>
      <c r="I105" s="43">
        <f t="shared" si="75"/>
        <v>4.8499999999999996</v>
      </c>
      <c r="J105" s="43">
        <f t="shared" si="75"/>
        <v>4.9210000000000003</v>
      </c>
      <c r="K105" s="43">
        <f t="shared" si="75"/>
        <v>4.9830000000000005</v>
      </c>
      <c r="L105" s="44">
        <f t="shared" ca="1" si="75"/>
        <v>5.2256934820093939</v>
      </c>
      <c r="M105" s="44">
        <f t="shared" ca="1" si="75"/>
        <v>5.4044318759016239</v>
      </c>
      <c r="N105" s="44">
        <f t="shared" ca="1" si="75"/>
        <v>5.6484514438797353</v>
      </c>
      <c r="O105" s="44">
        <f t="shared" ca="1" si="75"/>
        <v>5.9526830107350506</v>
      </c>
      <c r="P105" s="44">
        <f t="shared" ca="1" si="75"/>
        <v>6.3139193671659744</v>
      </c>
      <c r="Q105" s="44">
        <f t="shared" ca="1" si="75"/>
        <v>6.7324122205171752</v>
      </c>
      <c r="R105" s="44">
        <f t="shared" ca="1" si="75"/>
        <v>7.169638727544692</v>
      </c>
      <c r="S105" s="44">
        <f t="shared" ca="1" si="75"/>
        <v>7.6264138978422347</v>
      </c>
      <c r="T105" s="44">
        <f t="shared" ca="1" si="75"/>
        <v>8.1035928603353788</v>
      </c>
      <c r="U105" s="44">
        <f t="shared" ca="1" si="75"/>
        <v>8.6020679974506962</v>
      </c>
    </row>
    <row r="106" spans="1:21" x14ac:dyDescent="0.2">
      <c r="A106" s="1" t="s">
        <v>1264</v>
      </c>
      <c r="B106" s="4"/>
      <c r="D106" s="53">
        <f>D$210</f>
        <v>0.79700000000000004</v>
      </c>
      <c r="E106" s="53">
        <f t="shared" ref="E106:U106" si="76">E$210</f>
        <v>0.70799999999999996</v>
      </c>
      <c r="F106" s="53">
        <f t="shared" si="76"/>
        <v>0.81399999999999995</v>
      </c>
      <c r="G106" s="43">
        <f t="shared" si="76"/>
        <v>0.72</v>
      </c>
      <c r="H106" s="43">
        <f t="shared" si="76"/>
        <v>0.72899999999999998</v>
      </c>
      <c r="I106" s="43">
        <f t="shared" si="76"/>
        <v>0.72499999999999998</v>
      </c>
      <c r="J106" s="43">
        <f t="shared" si="76"/>
        <v>0.73099999999999998</v>
      </c>
      <c r="K106" s="43">
        <f t="shared" si="76"/>
        <v>0.751</v>
      </c>
      <c r="L106" s="44">
        <f t="shared" ca="1" si="76"/>
        <v>0.77863412044996039</v>
      </c>
      <c r="M106" s="44">
        <f t="shared" ca="1" si="76"/>
        <v>0.82547983124444568</v>
      </c>
      <c r="N106" s="44">
        <f t="shared" ca="1" si="76"/>
        <v>0.87114826183628291</v>
      </c>
      <c r="O106" s="44">
        <f t="shared" ca="1" si="76"/>
        <v>0.91544434872048175</v>
      </c>
      <c r="P106" s="44">
        <f t="shared" ca="1" si="76"/>
        <v>0.95834490489573432</v>
      </c>
      <c r="Q106" s="44">
        <f t="shared" ca="1" si="76"/>
        <v>0.99952456642166543</v>
      </c>
      <c r="R106" s="44">
        <f t="shared" ca="1" si="76"/>
        <v>1.0420042186566965</v>
      </c>
      <c r="S106" s="44">
        <f t="shared" ca="1" si="76"/>
        <v>1.0859103780668309</v>
      </c>
      <c r="T106" s="44">
        <f t="shared" ca="1" si="76"/>
        <v>1.1312829983382029</v>
      </c>
      <c r="U106" s="44">
        <f t="shared" ca="1" si="76"/>
        <v>1.1782592382401993</v>
      </c>
    </row>
    <row r="107" spans="1:21" x14ac:dyDescent="0.2">
      <c r="A107" s="1" t="s">
        <v>1284</v>
      </c>
      <c r="B107" s="4" t="str">
        <f t="shared" ref="B107:B118" si="77">$B$37</f>
        <v>From Fiscal</v>
      </c>
      <c r="D107" s="14">
        <f>-'Fiscal Forecasts'!D$99</f>
        <v>0.69599999999999995</v>
      </c>
      <c r="E107" s="14">
        <f>-'Fiscal Forecasts'!E$99</f>
        <v>0.747</v>
      </c>
      <c r="F107" s="14">
        <f>-'Fiscal Forecasts'!F$99</f>
        <v>0.753</v>
      </c>
      <c r="G107" s="43">
        <f>-'Fiscal Forecasts'!G$99</f>
        <v>1.0489999999999999</v>
      </c>
      <c r="H107" s="43">
        <f>-'Fiscal Forecasts'!H$99</f>
        <v>0.76200000000000001</v>
      </c>
      <c r="I107" s="43">
        <f>-'Fiscal Forecasts'!I$99</f>
        <v>0.77600000000000002</v>
      </c>
      <c r="J107" s="43">
        <f>-'Fiscal Forecasts'!J$99</f>
        <v>0.77800000000000002</v>
      </c>
      <c r="K107" s="43">
        <f>-'Fiscal Forecasts'!K$99</f>
        <v>0.73099999999999998</v>
      </c>
      <c r="L107" s="6">
        <f t="shared" ref="L107:U107" si="78">L$254</f>
        <v>0.70199999999999996</v>
      </c>
      <c r="M107" s="6">
        <f t="shared" si="78"/>
        <v>0.72399999999999998</v>
      </c>
      <c r="N107" s="6">
        <f t="shared" si="78"/>
        <v>0.745</v>
      </c>
      <c r="O107" s="6">
        <f t="shared" si="78"/>
        <v>0.76600000000000001</v>
      </c>
      <c r="P107" s="6">
        <f t="shared" si="78"/>
        <v>0.78900000000000003</v>
      </c>
      <c r="Q107" s="6">
        <f t="shared" si="78"/>
        <v>0.81399999999999995</v>
      </c>
      <c r="R107" s="6">
        <f t="shared" si="78"/>
        <v>0.83799999999999997</v>
      </c>
      <c r="S107" s="6">
        <f t="shared" si="78"/>
        <v>0.86099999999999999</v>
      </c>
      <c r="T107" s="6">
        <f t="shared" si="78"/>
        <v>0.88400000000000001</v>
      </c>
      <c r="U107" s="6">
        <f t="shared" si="78"/>
        <v>0.90600000000000003</v>
      </c>
    </row>
    <row r="108" spans="1:21" x14ac:dyDescent="0.2">
      <c r="A108" s="1" t="s">
        <v>1285</v>
      </c>
      <c r="B108" s="4" t="str">
        <f t="shared" si="77"/>
        <v>From Fiscal</v>
      </c>
      <c r="D108" s="14">
        <f>-'Fiscal Forecasts'!D$100</f>
        <v>0.30499999999999999</v>
      </c>
      <c r="E108" s="14">
        <f>-'Fiscal Forecasts'!E$100</f>
        <v>0.16900000000000001</v>
      </c>
      <c r="F108" s="14">
        <f>-'Fiscal Forecasts'!F$100</f>
        <v>-0.05</v>
      </c>
      <c r="G108" s="43">
        <f>-'Fiscal Forecasts'!G$100</f>
        <v>-9.9000000000000005E-2</v>
      </c>
      <c r="H108" s="43">
        <f>-'Fiscal Forecasts'!H$100</f>
        <v>1.6E-2</v>
      </c>
      <c r="I108" s="43">
        <f>-'Fiscal Forecasts'!I$100</f>
        <v>1.6E-2</v>
      </c>
      <c r="J108" s="43">
        <f>-'Fiscal Forecasts'!J$100</f>
        <v>1.7999999999999999E-2</v>
      </c>
      <c r="K108" s="43">
        <f>-'Fiscal Forecasts'!K$100</f>
        <v>1.7999999999999999E-2</v>
      </c>
      <c r="L108" s="6">
        <f ca="1">IF(L$6&lt;OFFSET(Assumptions!$B$8,0,$C$1),K$108,0)</f>
        <v>0</v>
      </c>
      <c r="M108" s="6">
        <f ca="1">IF(M$6&lt;OFFSET(Assumptions!$B$8,0,$C$1),L$108,0)</f>
        <v>0</v>
      </c>
      <c r="N108" s="6">
        <f ca="1">IF(N$6&lt;OFFSET(Assumptions!$B$8,0,$C$1),M$108,0)</f>
        <v>0</v>
      </c>
      <c r="O108" s="6">
        <f ca="1">IF(O$6&lt;OFFSET(Assumptions!$B$8,0,$C$1),N$108,0)</f>
        <v>0</v>
      </c>
      <c r="P108" s="6">
        <f ca="1">IF(P$6&lt;OFFSET(Assumptions!$B$8,0,$C$1),O$108,0)</f>
        <v>0</v>
      </c>
      <c r="Q108" s="6">
        <f ca="1">IF(Q$6&lt;OFFSET(Assumptions!$B$8,0,$C$1),P$108,0)</f>
        <v>0</v>
      </c>
      <c r="R108" s="6">
        <f ca="1">IF(R$6&lt;OFFSET(Assumptions!$B$8,0,$C$1),Q$108,0)</f>
        <v>0</v>
      </c>
      <c r="S108" s="6">
        <f ca="1">IF(S$6&lt;OFFSET(Assumptions!$B$8,0,$C$1),R$108,0)</f>
        <v>0</v>
      </c>
      <c r="T108" s="6">
        <f ca="1">IF(T$6&lt;OFFSET(Assumptions!$B$8,0,$C$1),S$108,0)</f>
        <v>0</v>
      </c>
      <c r="U108" s="6">
        <f ca="1">IF(U$6&lt;OFFSET(Assumptions!$B$8,0,$C$1),T$108,0)</f>
        <v>0</v>
      </c>
    </row>
    <row r="109" spans="1:21" x14ac:dyDescent="0.2">
      <c r="A109" s="1" t="s">
        <v>688</v>
      </c>
      <c r="B109" s="4" t="str">
        <f t="shared" si="77"/>
        <v>From Fiscal</v>
      </c>
      <c r="D109" s="14">
        <f>-'Fiscal Forecasts'!D$101</f>
        <v>-0.373</v>
      </c>
      <c r="E109" s="14">
        <f>-'Fiscal Forecasts'!E$101</f>
        <v>-0.42</v>
      </c>
      <c r="F109" s="14">
        <f>-'Fiscal Forecasts'!F$101</f>
        <v>-0.47199999999999998</v>
      </c>
      <c r="G109" s="15">
        <f>-'Fiscal Forecasts'!G$101</f>
        <v>-0.57599999999999996</v>
      </c>
      <c r="H109" s="15">
        <f>-'Fiscal Forecasts'!H$101</f>
        <v>-0.59199999999999997</v>
      </c>
      <c r="I109" s="15">
        <f>-'Fiscal Forecasts'!I$101</f>
        <v>-0.57199999999999995</v>
      </c>
      <c r="J109" s="15">
        <f>-'Fiscal Forecasts'!J$101</f>
        <v>-0.54</v>
      </c>
      <c r="K109" s="15">
        <f>-'Fiscal Forecasts'!K$101</f>
        <v>-0.51400000000000001</v>
      </c>
      <c r="L109" s="44">
        <f t="shared" ref="L109:U109" ca="1" si="79">L$467-K$467</f>
        <v>-0.28768139404159498</v>
      </c>
      <c r="M109" s="44">
        <f t="shared" ca="1" si="79"/>
        <v>-0.28192242833052461</v>
      </c>
      <c r="N109" s="44">
        <f t="shared" ca="1" si="79"/>
        <v>-0.27722372119167904</v>
      </c>
      <c r="O109" s="44">
        <f t="shared" ca="1" si="79"/>
        <v>-0.26876604834176465</v>
      </c>
      <c r="P109" s="44">
        <f t="shared" ca="1" si="79"/>
        <v>-0.26312759977515565</v>
      </c>
      <c r="Q109" s="44">
        <f t="shared" ca="1" si="79"/>
        <v>-0.26030837549184849</v>
      </c>
      <c r="R109" s="44">
        <f t="shared" ca="1" si="79"/>
        <v>-0.26688656548622891</v>
      </c>
      <c r="S109" s="44">
        <f t="shared" ca="1" si="79"/>
        <v>-0.27158527262506915</v>
      </c>
      <c r="T109" s="44">
        <f t="shared" ca="1" si="79"/>
        <v>-0.2772237211916817</v>
      </c>
      <c r="U109" s="44">
        <f t="shared" ca="1" si="79"/>
        <v>-0.28004294547498532</v>
      </c>
    </row>
    <row r="110" spans="1:21" x14ac:dyDescent="0.2">
      <c r="A110" s="1" t="s">
        <v>689</v>
      </c>
      <c r="B110" s="4" t="str">
        <f t="shared" si="77"/>
        <v>From Fiscal</v>
      </c>
      <c r="D110" s="14">
        <f>-'Fiscal Forecasts'!D$102</f>
        <v>-0.746</v>
      </c>
      <c r="E110" s="14">
        <f>-'Fiscal Forecasts'!E$102</f>
        <v>0.59699999999999998</v>
      </c>
      <c r="F110" s="14">
        <f>-'Fiscal Forecasts'!F$102</f>
        <v>1.0469999999999999</v>
      </c>
      <c r="G110" s="15">
        <f>-'Fiscal Forecasts'!G$102</f>
        <v>0.44</v>
      </c>
      <c r="H110" s="15">
        <f>-'Fiscal Forecasts'!H$102</f>
        <v>0.623</v>
      </c>
      <c r="I110" s="15">
        <f>-'Fiscal Forecasts'!I$102</f>
        <v>1.538</v>
      </c>
      <c r="J110" s="15">
        <f>-'Fiscal Forecasts'!J$102</f>
        <v>1.9259999999999999</v>
      </c>
      <c r="K110" s="15">
        <f>-'Fiscal Forecasts'!K$102</f>
        <v>2.0379999999999998</v>
      </c>
      <c r="L110" s="44">
        <f t="shared" ref="L110:U110" ca="1" si="80">L$462-K$462</f>
        <v>2.0669997358424936</v>
      </c>
      <c r="M110" s="44">
        <f t="shared" ca="1" si="80"/>
        <v>2.1592265357628406</v>
      </c>
      <c r="N110" s="44">
        <f t="shared" ca="1" si="80"/>
        <v>2.2941070318452219</v>
      </c>
      <c r="O110" s="44">
        <f t="shared" ca="1" si="80"/>
        <v>2.4292805036189904</v>
      </c>
      <c r="P110" s="44">
        <f t="shared" ca="1" si="80"/>
        <v>2.5605610843029396</v>
      </c>
      <c r="Q110" s="44">
        <f t="shared" ca="1" si="80"/>
        <v>2.7009397650115758</v>
      </c>
      <c r="R110" s="44">
        <f t="shared" ca="1" si="80"/>
        <v>2.8207246354974842</v>
      </c>
      <c r="S110" s="44">
        <f t="shared" ca="1" si="80"/>
        <v>2.9838773839523185</v>
      </c>
      <c r="T110" s="44">
        <f t="shared" ca="1" si="80"/>
        <v>3.1526533945388593</v>
      </c>
      <c r="U110" s="44">
        <f t="shared" ca="1" si="80"/>
        <v>3.3246050506756859</v>
      </c>
    </row>
    <row r="111" spans="1:21" x14ac:dyDescent="0.2">
      <c r="A111" s="1" t="s">
        <v>690</v>
      </c>
      <c r="B111" s="4" t="str">
        <f t="shared" si="77"/>
        <v>From Fiscal</v>
      </c>
      <c r="D111" s="14">
        <f>-'Fiscal Forecasts'!D$103</f>
        <v>-0.69899999999999995</v>
      </c>
      <c r="E111" s="14">
        <f>-'Fiscal Forecasts'!E$103</f>
        <v>8.5000000000000006E-2</v>
      </c>
      <c r="F111" s="14">
        <f>-'Fiscal Forecasts'!F$103</f>
        <v>-0.25800000000000001</v>
      </c>
      <c r="G111" s="15">
        <f>-'Fiscal Forecasts'!G$103</f>
        <v>-0.215</v>
      </c>
      <c r="H111" s="15">
        <f>-'Fiscal Forecasts'!H$103</f>
        <v>-0.26400000000000001</v>
      </c>
      <c r="I111" s="15">
        <f>-'Fiscal Forecasts'!I$103</f>
        <v>-0.28599999999999998</v>
      </c>
      <c r="J111" s="15">
        <f>-'Fiscal Forecasts'!J$103</f>
        <v>-0.29599999999999999</v>
      </c>
      <c r="K111" s="15">
        <f>-'Fiscal Forecasts'!K$103</f>
        <v>-0.311</v>
      </c>
      <c r="L111" s="44">
        <f t="shared" ref="L111:U111" ca="1" si="81">SUM(-L$332,L$37)</f>
        <v>0.17893584879984747</v>
      </c>
      <c r="M111" s="44">
        <f t="shared" ca="1" si="81"/>
        <v>0.17036013149300633</v>
      </c>
      <c r="N111" s="44">
        <f t="shared" ca="1" si="81"/>
        <v>0.16173824424206662</v>
      </c>
      <c r="O111" s="44">
        <f t="shared" ca="1" si="81"/>
        <v>0.1530128398847585</v>
      </c>
      <c r="P111" s="44">
        <f t="shared" ca="1" si="81"/>
        <v>0.14405441744661851</v>
      </c>
      <c r="Q111" s="44">
        <f t="shared" ca="1" si="81"/>
        <v>0.13484756159238809</v>
      </c>
      <c r="R111" s="44">
        <f t="shared" ca="1" si="81"/>
        <v>0.12543029018813728</v>
      </c>
      <c r="S111" s="44">
        <f t="shared" ca="1" si="81"/>
        <v>0.1157622419216997</v>
      </c>
      <c r="T111" s="44">
        <f t="shared" ca="1" si="81"/>
        <v>0.10583813146421917</v>
      </c>
      <c r="U111" s="44">
        <f t="shared" ca="1" si="81"/>
        <v>9.5614621831805024E-2</v>
      </c>
    </row>
    <row r="112" spans="1:21" ht="15" x14ac:dyDescent="0.25">
      <c r="A112" s="2" t="s">
        <v>679</v>
      </c>
      <c r="D112" s="34">
        <f>-SUM(D$105:D$111)</f>
        <v>-4.0249999999999986</v>
      </c>
      <c r="E112" s="34">
        <f t="shared" ref="E112:U112" si="82">-SUM(E$105:E$111)</f>
        <v>-6.0529999999999999</v>
      </c>
      <c r="F112" s="34">
        <f t="shared" si="82"/>
        <v>-6.1950000000000003</v>
      </c>
      <c r="G112" s="33">
        <f t="shared" si="82"/>
        <v>-6.0960000000000001</v>
      </c>
      <c r="H112" s="33">
        <f t="shared" si="82"/>
        <v>-6.1139999999999999</v>
      </c>
      <c r="I112" s="33">
        <f t="shared" si="82"/>
        <v>-7.0469999999999997</v>
      </c>
      <c r="J112" s="33">
        <f t="shared" si="82"/>
        <v>-7.5379999999999994</v>
      </c>
      <c r="K112" s="33">
        <f t="shared" si="82"/>
        <v>-7.6959999999999997</v>
      </c>
      <c r="L112" s="37">
        <f t="shared" ca="1" si="82"/>
        <v>-8.6645817930600995</v>
      </c>
      <c r="M112" s="37">
        <f t="shared" ca="1" si="82"/>
        <v>-9.0015759460713909</v>
      </c>
      <c r="N112" s="37">
        <f t="shared" ca="1" si="82"/>
        <v>-9.4432212606116277</v>
      </c>
      <c r="O112" s="37">
        <f t="shared" ca="1" si="82"/>
        <v>-9.9476546546175157</v>
      </c>
      <c r="P112" s="37">
        <f t="shared" ca="1" si="82"/>
        <v>-10.502752174036111</v>
      </c>
      <c r="Q112" s="37">
        <f t="shared" ca="1" si="82"/>
        <v>-11.121415738050956</v>
      </c>
      <c r="R112" s="37">
        <f t="shared" ca="1" si="82"/>
        <v>-11.728911306400782</v>
      </c>
      <c r="S112" s="37">
        <f t="shared" ca="1" si="82"/>
        <v>-12.401378629158014</v>
      </c>
      <c r="T112" s="37">
        <f t="shared" ca="1" si="82"/>
        <v>-13.10014366348498</v>
      </c>
      <c r="U112" s="37">
        <f t="shared" ca="1" si="82"/>
        <v>-13.826503962723402</v>
      </c>
    </row>
    <row r="113" spans="1:21" x14ac:dyDescent="0.2">
      <c r="A113" s="1" t="s">
        <v>201</v>
      </c>
      <c r="B113" s="4" t="str">
        <f t="shared" si="77"/>
        <v>From Fiscal</v>
      </c>
      <c r="D113" s="14">
        <f>'Fiscal Forecasts'!D$105</f>
        <v>0.14099999999999999</v>
      </c>
      <c r="E113" s="14">
        <f>'Fiscal Forecasts'!E$105</f>
        <v>-0.53200000000000003</v>
      </c>
      <c r="F113" s="14">
        <f>'Fiscal Forecasts'!F$105</f>
        <v>1.17</v>
      </c>
      <c r="G113" s="15">
        <f>'Fiscal Forecasts'!G$105</f>
        <v>0.84799999999999998</v>
      </c>
      <c r="H113" s="15">
        <f>'Fiscal Forecasts'!H$105</f>
        <v>1.27</v>
      </c>
      <c r="I113" s="15">
        <f>'Fiscal Forecasts'!I$105</f>
        <v>1.18</v>
      </c>
      <c r="J113" s="15">
        <f>'Fiscal Forecasts'!J$105</f>
        <v>1.831</v>
      </c>
      <c r="K113" s="15">
        <f>'Fiscal Forecasts'!K$105</f>
        <v>1.5940000000000001</v>
      </c>
      <c r="L113" s="44">
        <f t="shared" ref="L113:U113" ca="1" si="83">L$345-K$345</f>
        <v>1.1624820199658252</v>
      </c>
      <c r="M113" s="44">
        <f t="shared" ca="1" si="83"/>
        <v>1.286659268024593</v>
      </c>
      <c r="N113" s="44">
        <f t="shared" ca="1" si="83"/>
        <v>1.2726267158411417</v>
      </c>
      <c r="O113" s="44">
        <f t="shared" ca="1" si="83"/>
        <v>1.3056633316309529</v>
      </c>
      <c r="P113" s="44">
        <f t="shared" ca="1" si="83"/>
        <v>1.343845876748496</v>
      </c>
      <c r="Q113" s="44">
        <f t="shared" ca="1" si="83"/>
        <v>1.3802203833054136</v>
      </c>
      <c r="R113" s="44">
        <f t="shared" ca="1" si="83"/>
        <v>1.4146798135941054</v>
      </c>
      <c r="S113" s="44">
        <f t="shared" ca="1" si="83"/>
        <v>1.4524779714759575</v>
      </c>
      <c r="T113" s="44">
        <f t="shared" ca="1" si="83"/>
        <v>1.4919700327417402</v>
      </c>
      <c r="U113" s="44">
        <f t="shared" ca="1" si="83"/>
        <v>1.5327097454672014</v>
      </c>
    </row>
    <row r="114" spans="1:21" x14ac:dyDescent="0.2">
      <c r="A114" s="1" t="s">
        <v>202</v>
      </c>
      <c r="B114" s="4" t="str">
        <f t="shared" si="77"/>
        <v>From Fiscal</v>
      </c>
      <c r="D114" s="14">
        <f>'Fiscal Forecasts'!D$106</f>
        <v>0.19600000000000001</v>
      </c>
      <c r="E114" s="14">
        <f>'Fiscal Forecasts'!E$106</f>
        <v>0.16900000000000001</v>
      </c>
      <c r="F114" s="14">
        <f>'Fiscal Forecasts'!F$106</f>
        <v>0.312</v>
      </c>
      <c r="G114" s="15">
        <f>'Fiscal Forecasts'!G$106</f>
        <v>0.28899999999999998</v>
      </c>
      <c r="H114" s="15">
        <f>'Fiscal Forecasts'!H$106</f>
        <v>0.48499999999999999</v>
      </c>
      <c r="I114" s="15">
        <f>'Fiscal Forecasts'!I$106</f>
        <v>0.30599999999999999</v>
      </c>
      <c r="J114" s="15">
        <f>'Fiscal Forecasts'!J$106</f>
        <v>0.30499999999999999</v>
      </c>
      <c r="K114" s="15">
        <f>'Fiscal Forecasts'!K$106</f>
        <v>7.1999999999999995E-2</v>
      </c>
      <c r="L114" s="44">
        <f ca="1">L$147-L$323</f>
        <v>0.30486108863905492</v>
      </c>
      <c r="M114" s="44">
        <f t="shared" ref="M114:U114" ca="1" si="84">M$147-M$323</f>
        <v>0.31491484132364433</v>
      </c>
      <c r="N114" s="44">
        <f t="shared" ca="1" si="84"/>
        <v>0.31575175226937596</v>
      </c>
      <c r="O114" s="44">
        <f t="shared" ca="1" si="84"/>
        <v>0.31532842787556692</v>
      </c>
      <c r="P114" s="44">
        <f t="shared" ca="1" si="84"/>
        <v>0.31155114808656204</v>
      </c>
      <c r="Q114" s="44">
        <f t="shared" ca="1" si="84"/>
        <v>0.30640274436415771</v>
      </c>
      <c r="R114" s="44">
        <f t="shared" ca="1" si="84"/>
        <v>0.3029023993988344</v>
      </c>
      <c r="S114" s="44">
        <f t="shared" ca="1" si="84"/>
        <v>0.30001586189788415</v>
      </c>
      <c r="T114" s="44">
        <f t="shared" ca="1" si="84"/>
        <v>0.29873231536095901</v>
      </c>
      <c r="U114" s="44">
        <f t="shared" ca="1" si="84"/>
        <v>0.29601462734746742</v>
      </c>
    </row>
    <row r="115" spans="1:21" x14ac:dyDescent="0.2">
      <c r="A115" s="1" t="s">
        <v>203</v>
      </c>
      <c r="B115" s="4" t="str">
        <f t="shared" si="77"/>
        <v>From Fiscal</v>
      </c>
      <c r="D115" s="14">
        <f>'Fiscal Forecasts'!D$107</f>
        <v>-0.105</v>
      </c>
      <c r="E115" s="14">
        <f>'Fiscal Forecasts'!E$107</f>
        <v>0.115</v>
      </c>
      <c r="F115" s="14">
        <f>'Fiscal Forecasts'!F$107</f>
        <v>5.7000000000000002E-2</v>
      </c>
      <c r="G115" s="15">
        <f>'Fiscal Forecasts'!G$107</f>
        <v>-0.107</v>
      </c>
      <c r="H115" s="15">
        <f>'Fiscal Forecasts'!H$107</f>
        <v>-2.3E-2</v>
      </c>
      <c r="I115" s="15">
        <f>'Fiscal Forecasts'!I$107</f>
        <v>-2.7E-2</v>
      </c>
      <c r="J115" s="15">
        <f>'Fiscal Forecasts'!J$107</f>
        <v>2.7E-2</v>
      </c>
      <c r="K115" s="15">
        <f>'Fiscal Forecasts'!K$107</f>
        <v>2.3E-2</v>
      </c>
      <c r="L115" s="44">
        <f t="shared" ref="L115:U115" ca="1" si="85">L$399-K$399</f>
        <v>3.1320531918016536E-2</v>
      </c>
      <c r="M115" s="44">
        <f t="shared" ca="1" si="85"/>
        <v>3.2046752728574823E-2</v>
      </c>
      <c r="N115" s="44">
        <f t="shared" ca="1" si="85"/>
        <v>3.2802806968807108E-2</v>
      </c>
      <c r="O115" s="44">
        <f t="shared" ca="1" si="85"/>
        <v>3.352069400193658E-2</v>
      </c>
      <c r="P115" s="44">
        <f t="shared" ca="1" si="85"/>
        <v>3.4189539038402605E-2</v>
      </c>
      <c r="Q115" s="44">
        <f t="shared" ca="1" si="85"/>
        <v>3.4876850304147888E-2</v>
      </c>
      <c r="R115" s="44">
        <f t="shared" ca="1" si="85"/>
        <v>3.5500144396908961E-2</v>
      </c>
      <c r="S115" s="44">
        <f t="shared" ca="1" si="85"/>
        <v>3.6106925385131161E-2</v>
      </c>
      <c r="T115" s="44">
        <f t="shared" ca="1" si="85"/>
        <v>3.6752209718210915E-2</v>
      </c>
      <c r="U115" s="44">
        <f t="shared" ca="1" si="85"/>
        <v>3.7312358264733447E-2</v>
      </c>
    </row>
    <row r="116" spans="1:21" x14ac:dyDescent="0.2">
      <c r="A116" s="1" t="s">
        <v>204</v>
      </c>
      <c r="B116" s="4" t="str">
        <f t="shared" si="77"/>
        <v>From Fiscal</v>
      </c>
      <c r="D116" s="14">
        <f>'Fiscal Forecasts'!D$108</f>
        <v>-1.2E-2</v>
      </c>
      <c r="E116" s="14">
        <f>'Fiscal Forecasts'!E$108</f>
        <v>7.0000000000000007E-2</v>
      </c>
      <c r="F116" s="14">
        <f>'Fiscal Forecasts'!F$108</f>
        <v>0.151</v>
      </c>
      <c r="G116" s="15">
        <f>'Fiscal Forecasts'!G$108</f>
        <v>-0.03</v>
      </c>
      <c r="H116" s="15">
        <f>'Fiscal Forecasts'!H$108</f>
        <v>-7.0000000000000001E-3</v>
      </c>
      <c r="I116" s="15">
        <f>'Fiscal Forecasts'!I$108</f>
        <v>-1.2E-2</v>
      </c>
      <c r="J116" s="15">
        <f>'Fiscal Forecasts'!J$108</f>
        <v>5.0000000000000001E-3</v>
      </c>
      <c r="K116" s="15">
        <f>'Fiscal Forecasts'!K$108</f>
        <v>1.4E-2</v>
      </c>
      <c r="L116" s="44">
        <f t="shared" ref="L116:U116" ca="1" si="86">L$403-K$403</f>
        <v>8.1883356602300061E-2</v>
      </c>
      <c r="M116" s="44">
        <f t="shared" ca="1" si="86"/>
        <v>8.3781964127824349E-2</v>
      </c>
      <c r="N116" s="44">
        <f t="shared" ca="1" si="86"/>
        <v>8.5758567179320178E-2</v>
      </c>
      <c r="O116" s="44">
        <f t="shared" ca="1" si="86"/>
        <v>8.7635387154400668E-2</v>
      </c>
      <c r="P116" s="44">
        <f t="shared" ca="1" si="86"/>
        <v>8.9383993365048653E-2</v>
      </c>
      <c r="Q116" s="44">
        <f t="shared" ca="1" si="86"/>
        <v>9.118087707114686E-2</v>
      </c>
      <c r="R116" s="44">
        <f t="shared" ca="1" si="86"/>
        <v>9.2810396410066609E-2</v>
      </c>
      <c r="S116" s="44">
        <f t="shared" ca="1" si="86"/>
        <v>9.4396744437875935E-2</v>
      </c>
      <c r="T116" s="44">
        <f t="shared" ca="1" si="86"/>
        <v>9.6083754329461701E-2</v>
      </c>
      <c r="U116" s="44">
        <f t="shared" ca="1" si="86"/>
        <v>9.7548188053169227E-2</v>
      </c>
    </row>
    <row r="117" spans="1:21" x14ac:dyDescent="0.2">
      <c r="A117" s="1" t="s">
        <v>691</v>
      </c>
      <c r="B117" s="4" t="str">
        <f t="shared" si="77"/>
        <v>From Fiscal</v>
      </c>
      <c r="D117" s="14">
        <f>-'Fiscal Forecasts'!D$109</f>
        <v>0.14899999999999999</v>
      </c>
      <c r="E117" s="14">
        <f>-'Fiscal Forecasts'!E$109</f>
        <v>6.6000000000000003E-2</v>
      </c>
      <c r="F117" s="14">
        <f>-'Fiscal Forecasts'!F$109</f>
        <v>4.5999999999999999E-2</v>
      </c>
      <c r="G117" s="15">
        <f>-'Fiscal Forecasts'!G$109</f>
        <v>8.3000000000000004E-2</v>
      </c>
      <c r="H117" s="15">
        <f>-'Fiscal Forecasts'!H$109</f>
        <v>0.108</v>
      </c>
      <c r="I117" s="15">
        <f>-'Fiscal Forecasts'!I$109</f>
        <v>2.3E-2</v>
      </c>
      <c r="J117" s="15">
        <f>-'Fiscal Forecasts'!J$109</f>
        <v>5.8000000000000003E-2</v>
      </c>
      <c r="K117" s="15">
        <f>-'Fiscal Forecasts'!K$109</f>
        <v>5.0999999999999997E-2</v>
      </c>
      <c r="L117" s="44">
        <f t="shared" ref="L117:U117" ca="1" si="87">L$456-K$456</f>
        <v>0.11320388852031682</v>
      </c>
      <c r="M117" s="44">
        <f t="shared" ca="1" si="87"/>
        <v>0.11582871685639917</v>
      </c>
      <c r="N117" s="44">
        <f t="shared" ca="1" si="87"/>
        <v>0.11856137414812729</v>
      </c>
      <c r="O117" s="44">
        <f t="shared" ca="1" si="87"/>
        <v>0.12115608115633725</v>
      </c>
      <c r="P117" s="44">
        <f t="shared" ca="1" si="87"/>
        <v>0.12357353240345148</v>
      </c>
      <c r="Q117" s="44">
        <f t="shared" ca="1" si="87"/>
        <v>0.12605772737529453</v>
      </c>
      <c r="R117" s="44">
        <f t="shared" ca="1" si="87"/>
        <v>0.12831054080697557</v>
      </c>
      <c r="S117" s="44">
        <f t="shared" ca="1" si="87"/>
        <v>0.13050366982300687</v>
      </c>
      <c r="T117" s="44">
        <f t="shared" ca="1" si="87"/>
        <v>0.13283596404767284</v>
      </c>
      <c r="U117" s="44">
        <f t="shared" ca="1" si="87"/>
        <v>0.13486054631790267</v>
      </c>
    </row>
    <row r="118" spans="1:21" x14ac:dyDescent="0.2">
      <c r="A118" s="1" t="s">
        <v>692</v>
      </c>
      <c r="B118" s="4" t="str">
        <f t="shared" si="77"/>
        <v>From Fiscal</v>
      </c>
      <c r="D118" s="14">
        <f>-'Fiscal Forecasts'!D$110</f>
        <v>0.19600000000000001</v>
      </c>
      <c r="E118" s="14">
        <f>-'Fiscal Forecasts'!E$110</f>
        <v>8.1000000000000003E-2</v>
      </c>
      <c r="F118" s="14">
        <f>-'Fiscal Forecasts'!F$110</f>
        <v>0.377</v>
      </c>
      <c r="G118" s="15">
        <f>-'Fiscal Forecasts'!G$110</f>
        <v>0.39700000000000002</v>
      </c>
      <c r="H118" s="15">
        <f>-'Fiscal Forecasts'!H$110</f>
        <v>0.40799999999999997</v>
      </c>
      <c r="I118" s="15">
        <f>-'Fiscal Forecasts'!I$110</f>
        <v>-0.10100000000000001</v>
      </c>
      <c r="J118" s="15">
        <f>-'Fiscal Forecasts'!J$110</f>
        <v>0.98299999999999998</v>
      </c>
      <c r="K118" s="15">
        <f>-'Fiscal Forecasts'!K$110</f>
        <v>0.38700000000000001</v>
      </c>
      <c r="L118" s="44">
        <f t="shared" ref="L118:U118" ca="1" si="88">SUM(L$452-K$452,L$471-K$471)</f>
        <v>0.78868378863444288</v>
      </c>
      <c r="M118" s="44">
        <f t="shared" ca="1" si="88"/>
        <v>0.84267068541431378</v>
      </c>
      <c r="N118" s="44">
        <f t="shared" ca="1" si="88"/>
        <v>0.84991153442175005</v>
      </c>
      <c r="O118" s="44">
        <f t="shared" ca="1" si="88"/>
        <v>0.87212413517261211</v>
      </c>
      <c r="P118" s="44">
        <f t="shared" ca="1" si="88"/>
        <v>0.89558455020786276</v>
      </c>
      <c r="Q118" s="44">
        <f t="shared" ca="1" si="88"/>
        <v>0.91652283260121692</v>
      </c>
      <c r="R118" s="44">
        <f t="shared" ca="1" si="88"/>
        <v>0.93634390780367127</v>
      </c>
      <c r="S118" s="44">
        <f t="shared" ca="1" si="88"/>
        <v>0.95807909045341333</v>
      </c>
      <c r="T118" s="44">
        <f t="shared" ca="1" si="88"/>
        <v>0.98105828385284077</v>
      </c>
      <c r="U118" s="44">
        <f t="shared" ca="1" si="88"/>
        <v>1.0037406724666411</v>
      </c>
    </row>
    <row r="119" spans="1:21" ht="15" x14ac:dyDescent="0.25">
      <c r="A119" s="2" t="s">
        <v>207</v>
      </c>
      <c r="D119" s="34">
        <f>SUM(D$113:D$116,-D$117,-D$118)</f>
        <v>-0.12500000000000003</v>
      </c>
      <c r="E119" s="34">
        <f>SUM(E$113:E$116,-E$117,-E$118)</f>
        <v>-0.32500000000000001</v>
      </c>
      <c r="F119" s="34">
        <f>SUM(F$113:F$116,-F$117,-F$118)</f>
        <v>1.2669999999999999</v>
      </c>
      <c r="G119" s="33">
        <f t="shared" ref="G119:U119" si="89">SUM(G$113:G$116,-G$117,-G$118)</f>
        <v>0.52</v>
      </c>
      <c r="H119" s="33">
        <f t="shared" si="89"/>
        <v>1.2090000000000001</v>
      </c>
      <c r="I119" s="33">
        <f t="shared" si="89"/>
        <v>1.5250000000000001</v>
      </c>
      <c r="J119" s="33">
        <f t="shared" si="89"/>
        <v>1.1270000000000002</v>
      </c>
      <c r="K119" s="33">
        <f t="shared" si="89"/>
        <v>1.2650000000000001</v>
      </c>
      <c r="L119" s="37">
        <f t="shared" ca="1" si="89"/>
        <v>0.67865931997043716</v>
      </c>
      <c r="M119" s="37">
        <f t="shared" ca="1" si="89"/>
        <v>0.75890342393392363</v>
      </c>
      <c r="N119" s="37">
        <f t="shared" ca="1" si="89"/>
        <v>0.7384669336887677</v>
      </c>
      <c r="O119" s="37">
        <f t="shared" ca="1" si="89"/>
        <v>0.74886762433390786</v>
      </c>
      <c r="P119" s="37">
        <f t="shared" ca="1" si="89"/>
        <v>0.75981247462719503</v>
      </c>
      <c r="Q119" s="37">
        <f t="shared" ca="1" si="89"/>
        <v>0.77010029506835465</v>
      </c>
      <c r="R119" s="37">
        <f t="shared" ca="1" si="89"/>
        <v>0.78123830518926862</v>
      </c>
      <c r="S119" s="37">
        <f t="shared" ca="1" si="89"/>
        <v>0.79441474292042846</v>
      </c>
      <c r="T119" s="37">
        <f t="shared" ca="1" si="89"/>
        <v>0.80964406424985813</v>
      </c>
      <c r="U119" s="37">
        <f t="shared" ca="1" si="89"/>
        <v>0.82498370034802759</v>
      </c>
    </row>
    <row r="120" spans="1:21" ht="15" x14ac:dyDescent="0.25">
      <c r="A120" s="2" t="s">
        <v>1230</v>
      </c>
      <c r="D120" s="35">
        <f t="shared" ref="D120:U120" si="90">SUM(D$90,D$104,D$112,D$119)</f>
        <v>5.7710000000000008</v>
      </c>
      <c r="E120" s="35">
        <f t="shared" si="90"/>
        <v>-5.3689999999999802</v>
      </c>
      <c r="F120" s="35">
        <f t="shared" si="90"/>
        <v>12.317000000000021</v>
      </c>
      <c r="G120" s="36">
        <f t="shared" si="90"/>
        <v>6.997000000000007</v>
      </c>
      <c r="H120" s="36">
        <f t="shared" si="90"/>
        <v>6.773000000000005</v>
      </c>
      <c r="I120" s="36">
        <f t="shared" si="90"/>
        <v>8.8369999999999944</v>
      </c>
      <c r="J120" s="36">
        <f t="shared" si="90"/>
        <v>9.5669999999999948</v>
      </c>
      <c r="K120" s="36">
        <f t="shared" si="90"/>
        <v>11.651999999999999</v>
      </c>
      <c r="L120" s="27">
        <f t="shared" ca="1" si="90"/>
        <v>10.816077264252669</v>
      </c>
      <c r="M120" s="27">
        <f t="shared" ca="1" si="90"/>
        <v>11.989437047906769</v>
      </c>
      <c r="N120" s="27">
        <f t="shared" ca="1" si="90"/>
        <v>12.787693064542232</v>
      </c>
      <c r="O120" s="27">
        <f t="shared" ca="1" si="90"/>
        <v>13.575424657727165</v>
      </c>
      <c r="P120" s="27">
        <f t="shared" ca="1" si="90"/>
        <v>14.159788384317556</v>
      </c>
      <c r="Q120" s="27">
        <f t="shared" ca="1" si="90"/>
        <v>14.685393828326694</v>
      </c>
      <c r="R120" s="27">
        <f t="shared" ca="1" si="90"/>
        <v>14.989702438647647</v>
      </c>
      <c r="S120" s="27">
        <f t="shared" ca="1" si="90"/>
        <v>15.786067865215797</v>
      </c>
      <c r="T120" s="27">
        <f t="shared" ca="1" si="90"/>
        <v>16.435700653356708</v>
      </c>
      <c r="U120" s="27">
        <f t="shared" ca="1" si="90"/>
        <v>17.240357307091166</v>
      </c>
    </row>
    <row r="121" spans="1:21" ht="15" x14ac:dyDescent="0.25">
      <c r="A121" s="26" t="s">
        <v>342</v>
      </c>
      <c r="D121" s="5" t="str">
        <f t="shared" ref="D121:U121" ca="1" si="91">IF(ROUND(D$42-D$120,3)=0,"OK","ERROR")</f>
        <v>OK</v>
      </c>
      <c r="E121" s="5" t="str">
        <f t="shared" ca="1" si="91"/>
        <v>OK</v>
      </c>
      <c r="F121" s="5" t="str">
        <f t="shared" ca="1" si="91"/>
        <v>OK</v>
      </c>
      <c r="G121" s="5" t="str">
        <f t="shared" ca="1" si="91"/>
        <v>OK</v>
      </c>
      <c r="H121" s="5" t="str">
        <f t="shared" ca="1" si="91"/>
        <v>OK</v>
      </c>
      <c r="I121" s="5" t="str">
        <f t="shared" ca="1" si="91"/>
        <v>OK</v>
      </c>
      <c r="J121" s="5" t="str">
        <f t="shared" ca="1" si="91"/>
        <v>OK</v>
      </c>
      <c r="K121" s="5" t="str">
        <f t="shared" ca="1" si="91"/>
        <v>OK</v>
      </c>
      <c r="L121" s="5" t="str">
        <f t="shared" ca="1" si="91"/>
        <v>OK</v>
      </c>
      <c r="M121" s="5" t="str">
        <f t="shared" ca="1" si="91"/>
        <v>OK</v>
      </c>
      <c r="N121" s="5" t="str">
        <f t="shared" ca="1" si="91"/>
        <v>OK</v>
      </c>
      <c r="O121" s="5" t="str">
        <f t="shared" ca="1" si="91"/>
        <v>OK</v>
      </c>
      <c r="P121" s="5" t="str">
        <f t="shared" ca="1" si="91"/>
        <v>OK</v>
      </c>
      <c r="Q121" s="5" t="str">
        <f t="shared" ca="1" si="91"/>
        <v>OK</v>
      </c>
      <c r="R121" s="5" t="str">
        <f t="shared" ca="1" si="91"/>
        <v>OK</v>
      </c>
      <c r="S121" s="5" t="str">
        <f t="shared" ca="1" si="91"/>
        <v>OK</v>
      </c>
      <c r="T121" s="5" t="str">
        <f t="shared" ca="1" si="91"/>
        <v>OK</v>
      </c>
      <c r="U121" s="5" t="str">
        <f t="shared" ca="1" si="91"/>
        <v>OK</v>
      </c>
    </row>
    <row r="122" spans="1:21" ht="15" x14ac:dyDescent="0.25">
      <c r="A122" s="26"/>
    </row>
    <row r="123" spans="1:21" x14ac:dyDescent="0.2">
      <c r="A123" s="18" t="s">
        <v>248</v>
      </c>
    </row>
    <row r="124" spans="1:21" x14ac:dyDescent="0.2">
      <c r="A124" s="18" t="s">
        <v>249</v>
      </c>
    </row>
    <row r="125" spans="1:21" x14ac:dyDescent="0.2">
      <c r="A125" s="1" t="s">
        <v>405</v>
      </c>
      <c r="B125" s="4" t="str">
        <f t="shared" ref="B125:B131" si="92">$B$37</f>
        <v>From Fiscal</v>
      </c>
      <c r="D125" s="14">
        <f>'Fiscal Forecasts'!D$206</f>
        <v>25.309000000000001</v>
      </c>
      <c r="E125" s="14">
        <f>'Fiscal Forecasts'!E$206</f>
        <v>27.018999999999998</v>
      </c>
      <c r="F125" s="14">
        <f>'Fiscal Forecasts'!F$206</f>
        <v>28.640999999999998</v>
      </c>
      <c r="G125" s="15">
        <f>'Fiscal Forecasts'!G$206</f>
        <v>30.38</v>
      </c>
      <c r="H125" s="15">
        <f>'Fiscal Forecasts'!H$206</f>
        <v>32.247999999999998</v>
      </c>
      <c r="I125" s="15">
        <f>'Fiscal Forecasts'!I$206</f>
        <v>34.231999999999999</v>
      </c>
      <c r="J125" s="15">
        <f>'Fiscal Forecasts'!J$206</f>
        <v>36.298999999999999</v>
      </c>
      <c r="K125" s="15">
        <f>'Fiscal Forecasts'!K$206</f>
        <v>38.459000000000003</v>
      </c>
      <c r="L125" s="6">
        <f ca="1">IF(OFFSET(Assumptions!$B$30,0,$C$1)="Yes",K$125*(1+L$18)*(1+OFFSET(Assumptions!$B$31,0,$C$1)*L$27),(K$125/K$13+MIN(ABS(OFFSET(Assumptions!$B$32,0,$C$1)-K$125/K$13),OFFSET(Assumptions!$B$33,0,$C$1))*SIGN(OFFSET(Assumptions!$B$32,0,$C$1)-K$125/K$13))*L$13)</f>
        <v>40.281594423594662</v>
      </c>
      <c r="M125" s="6">
        <f ca="1">IF(OFFSET(Assumptions!$B$30,0,$C$1)="Yes",L$125*(1+M$18)*(1+OFFSET(Assumptions!$B$31,0,$C$1)*M$27),(L$125/L$13+MIN(ABS(OFFSET(Assumptions!$B$32,0,$C$1)-L$125/L$13),OFFSET(Assumptions!$B$33,0,$C$1))*SIGN(OFFSET(Assumptions!$B$32,0,$C$1)-L$125/L$13))*M$13)</f>
        <v>42.118271327758713</v>
      </c>
      <c r="N125" s="6">
        <f ca="1">IF(OFFSET(Assumptions!$B$30,0,$C$1)="Yes",M$125*(1+N$18)*(1+OFFSET(Assumptions!$B$31,0,$C$1)*N$27),(M$125/M$13+MIN(ABS(OFFSET(Assumptions!$B$32,0,$C$1)-M$125/M$13),OFFSET(Assumptions!$B$33,0,$C$1))*SIGN(OFFSET(Assumptions!$B$32,0,$C$1)-M$125/M$13))*N$13)</f>
        <v>43.994990290096986</v>
      </c>
      <c r="O125" s="6">
        <f ca="1">IF(OFFSET(Assumptions!$B$30,0,$C$1)="Yes",N$125*(1+O$18)*(1+OFFSET(Assumptions!$B$31,0,$C$1)*O$27),(N$125/N$13+MIN(ABS(OFFSET(Assumptions!$B$32,0,$C$1)-N$125/N$13),OFFSET(Assumptions!$B$33,0,$C$1))*SIGN(OFFSET(Assumptions!$B$32,0,$C$1)-N$125/N$13))*O$13)</f>
        <v>45.919764385454201</v>
      </c>
      <c r="P125" s="6">
        <f ca="1">IF(OFFSET(Assumptions!$B$30,0,$C$1)="Yes",O$125*(1+P$18)*(1+OFFSET(Assumptions!$B$31,0,$C$1)*P$27),(O$125/O$13+MIN(ABS(OFFSET(Assumptions!$B$32,0,$C$1)-O$125/O$13),OFFSET(Assumptions!$B$33,0,$C$1))*SIGN(OFFSET(Assumptions!$B$32,0,$C$1)-O$125/O$13))*P$13)</f>
        <v>47.909899986396901</v>
      </c>
      <c r="Q125" s="6">
        <f ca="1">IF(OFFSET(Assumptions!$B$30,0,$C$1)="Yes",P$125*(1+Q$18)*(1+OFFSET(Assumptions!$B$31,0,$C$1)*Q$27),(P$125/P$13+MIN(ABS(OFFSET(Assumptions!$B$32,0,$C$1)-P$125/P$13),OFFSET(Assumptions!$B$33,0,$C$1))*SIGN(OFFSET(Assumptions!$B$32,0,$C$1)-P$125/P$13))*Q$13)</f>
        <v>49.968567440152171</v>
      </c>
      <c r="R125" s="6">
        <f ca="1">IF(OFFSET(Assumptions!$B$30,0,$C$1)="Yes",Q$125*(1+R$18)*(1+OFFSET(Assumptions!$B$31,0,$C$1)*R$27),(Q$125/Q$13+MIN(ABS(OFFSET(Assumptions!$B$32,0,$C$1)-Q$125/Q$13),OFFSET(Assumptions!$B$33,0,$C$1))*SIGN(OFFSET(Assumptions!$B$32,0,$C$1)-Q$125/Q$13))*R$13)</f>
        <v>52.092224465551269</v>
      </c>
      <c r="S125" s="6">
        <f ca="1">IF(OFFSET(Assumptions!$B$30,0,$C$1)="Yes",R$125*(1+S$18)*(1+OFFSET(Assumptions!$B$31,0,$C$1)*S$27),(R$125/R$13+MIN(ABS(OFFSET(Assumptions!$B$32,0,$C$1)-R$125/R$13),OFFSET(Assumptions!$B$33,0,$C$1))*SIGN(OFFSET(Assumptions!$B$32,0,$C$1)-R$125/R$13))*S$13)</f>
        <v>54.287195916205768</v>
      </c>
      <c r="T125" s="6">
        <f ca="1">IF(OFFSET(Assumptions!$B$30,0,$C$1)="Yes",S$125*(1+T$18)*(1+OFFSET(Assumptions!$B$31,0,$C$1)*T$27),(S$125/S$13+MIN(ABS(OFFSET(Assumptions!$B$32,0,$C$1)-S$125/S$13),OFFSET(Assumptions!$B$33,0,$C$1))*SIGN(OFFSET(Assumptions!$B$32,0,$C$1)-S$125/S$13))*T$13)</f>
        <v>56.555479170196357</v>
      </c>
      <c r="U125" s="6">
        <f ca="1">IF(OFFSET(Assumptions!$B$30,0,$C$1)="Yes",T$125*(1+U$18)*(1+OFFSET(Assumptions!$B$31,0,$C$1)*U$27),(T$125/T$13+MIN(ABS(OFFSET(Assumptions!$B$32,0,$C$1)-T$125/T$13),OFFSET(Assumptions!$B$33,0,$C$1))*SIGN(OFFSET(Assumptions!$B$32,0,$C$1)-T$125/T$13))*U$13)</f>
        <v>58.90393111473557</v>
      </c>
    </row>
    <row r="126" spans="1:21" x14ac:dyDescent="0.2">
      <c r="A126" s="1" t="s">
        <v>406</v>
      </c>
      <c r="B126" s="4" t="str">
        <f t="shared" si="92"/>
        <v>From Fiscal</v>
      </c>
      <c r="D126" s="14">
        <f>'Fiscal Forecasts'!D$207</f>
        <v>10.295999999999999</v>
      </c>
      <c r="E126" s="14">
        <f>'Fiscal Forecasts'!E$207</f>
        <v>11.054</v>
      </c>
      <c r="F126" s="14">
        <f>'Fiscal Forecasts'!F$207</f>
        <v>12.629</v>
      </c>
      <c r="G126" s="15">
        <f>'Fiscal Forecasts'!G$207</f>
        <v>13.076000000000001</v>
      </c>
      <c r="H126" s="15">
        <f>'Fiscal Forecasts'!H$207</f>
        <v>13.763</v>
      </c>
      <c r="I126" s="15">
        <f>'Fiscal Forecasts'!I$207</f>
        <v>14.5</v>
      </c>
      <c r="J126" s="15">
        <f>'Fiscal Forecasts'!J$207</f>
        <v>15.141999999999999</v>
      </c>
      <c r="K126" s="15">
        <f>'Fiscal Forecasts'!K$207</f>
        <v>15.881</v>
      </c>
      <c r="L126" s="6">
        <f ca="1">(K$126/K$13+MIN(ABS(OFFSET(Assumptions!$B$34,0,$C$1)-K$126/K$13),OFFSET(Assumptions!$B$35,0,$C$1))*SIGN(OFFSET(Assumptions!$B$34,0,$C$1)-K$126/K$13))*L$13</f>
        <v>15.380245143554326</v>
      </c>
      <c r="M126" s="6">
        <f ca="1">(L$126/L$13+MIN(ABS(OFFSET(Assumptions!$B$34,0,$C$1)-L$126/L$13),OFFSET(Assumptions!$B$35,0,$C$1))*SIGN(OFFSET(Assumptions!$B$34,0,$C$1)-L$126/L$13))*M$13</f>
        <v>16.081521779689691</v>
      </c>
      <c r="N126" s="6">
        <f ca="1">(M$126/M$13+MIN(ABS(OFFSET(Assumptions!$B$34,0,$C$1)-M$126/M$13),OFFSET(Assumptions!$B$35,0,$C$1))*SIGN(OFFSET(Assumptions!$B$34,0,$C$1)-M$126/M$13))*N$13</f>
        <v>16.798087201673393</v>
      </c>
      <c r="O126" s="6">
        <f ca="1">(N$126/N$13+MIN(ABS(OFFSET(Assumptions!$B$34,0,$C$1)-N$126/N$13),OFFSET(Assumptions!$B$35,0,$C$1))*SIGN(OFFSET(Assumptions!$B$34,0,$C$1)-N$126/N$13))*O$13</f>
        <v>17.533000947173424</v>
      </c>
      <c r="P126" s="6">
        <f ca="1">(O$126/O$13+MIN(ABS(OFFSET(Assumptions!$B$34,0,$C$1)-O$126/O$13),OFFSET(Assumptions!$B$35,0,$C$1))*SIGN(OFFSET(Assumptions!$B$34,0,$C$1)-O$126/O$13))*P$13</f>
        <v>18.292870903897001</v>
      </c>
      <c r="Q126" s="6">
        <f ca="1">(P$126/P$13+MIN(ABS(OFFSET(Assumptions!$B$34,0,$C$1)-P$126/P$13),OFFSET(Assumptions!$B$35,0,$C$1))*SIGN(OFFSET(Assumptions!$B$34,0,$C$1)-P$126/P$13))*Q$13</f>
        <v>19.078907568058103</v>
      </c>
      <c r="R126" s="6">
        <f ca="1">(Q$126/Q$13+MIN(ABS(OFFSET(Assumptions!$B$34,0,$C$1)-Q$126/Q$13),OFFSET(Assumptions!$B$35,0,$C$1))*SIGN(OFFSET(Assumptions!$B$34,0,$C$1)-Q$126/Q$13))*R$13</f>
        <v>19.889758432301395</v>
      </c>
      <c r="S126" s="6">
        <f ca="1">(R$126/R$13+MIN(ABS(OFFSET(Assumptions!$B$34,0,$C$1)-R$126/R$13),OFFSET(Assumptions!$B$35,0,$C$1))*SIGN(OFFSET(Assumptions!$B$34,0,$C$1)-R$126/R$13))*S$13</f>
        <v>20.727838440733112</v>
      </c>
      <c r="T126" s="6">
        <f ca="1">(S$126/S$13+MIN(ABS(OFFSET(Assumptions!$B$34,0,$C$1)-S$126/S$13),OFFSET(Assumptions!$B$35,0,$C$1))*SIGN(OFFSET(Assumptions!$B$34,0,$C$1)-S$126/S$13))*T$13</f>
        <v>21.593910228620427</v>
      </c>
      <c r="U126" s="6">
        <f ca="1">(T$126/T$13+MIN(ABS(OFFSET(Assumptions!$B$34,0,$C$1)-T$126/T$13),OFFSET(Assumptions!$B$35,0,$C$1))*SIGN(OFFSET(Assumptions!$B$34,0,$C$1)-T$126/T$13))*U$13</f>
        <v>22.490591880171763</v>
      </c>
    </row>
    <row r="127" spans="1:21" x14ac:dyDescent="0.2">
      <c r="A127" s="1" t="s">
        <v>407</v>
      </c>
      <c r="B127" s="4" t="str">
        <f t="shared" si="92"/>
        <v>From Fiscal</v>
      </c>
      <c r="D127" s="14">
        <f>'Fiscal Forecasts'!D$208</f>
        <v>17.169</v>
      </c>
      <c r="E127" s="14">
        <f>'Fiscal Forecasts'!E$208</f>
        <v>18.207999999999998</v>
      </c>
      <c r="F127" s="14">
        <f>'Fiscal Forecasts'!F$208</f>
        <v>19.507999999999999</v>
      </c>
      <c r="G127" s="15">
        <f>'Fiscal Forecasts'!G$208</f>
        <v>20.690999999999999</v>
      </c>
      <c r="H127" s="15">
        <f>'Fiscal Forecasts'!H$208</f>
        <v>21.969000000000001</v>
      </c>
      <c r="I127" s="15">
        <f>'Fiscal Forecasts'!I$208</f>
        <v>23.013000000000002</v>
      </c>
      <c r="J127" s="15">
        <f>'Fiscal Forecasts'!J$208</f>
        <v>24.103000000000002</v>
      </c>
      <c r="K127" s="15">
        <f>'Fiscal Forecasts'!K$208</f>
        <v>25.225000000000001</v>
      </c>
      <c r="L127" s="6">
        <f ca="1">(K$127/K$13+MIN(ABS(OFFSET(Assumptions!$B$36,0,$C$1)-K$127/K$13),OFFSET(Assumptions!$B$37,0,$C$1))*SIGN(OFFSET(Assumptions!$B$36,0,$C$1)-K$127/K$13))*L$13</f>
        <v>26.366134531807411</v>
      </c>
      <c r="M127" s="6">
        <f ca="1">(L$127/L$13+MIN(ABS(OFFSET(Assumptions!$B$36,0,$C$1)-L$127/L$13),OFFSET(Assumptions!$B$37,0,$C$1))*SIGN(OFFSET(Assumptions!$B$36,0,$C$1)-L$127/L$13))*M$13</f>
        <v>27.568323050896609</v>
      </c>
      <c r="N127" s="6">
        <f ca="1">(M$127/M$13+MIN(ABS(OFFSET(Assumptions!$B$36,0,$C$1)-M$127/M$13),OFFSET(Assumptions!$B$37,0,$C$1))*SIGN(OFFSET(Assumptions!$B$36,0,$C$1)-M$127/M$13))*N$13</f>
        <v>28.796720917154389</v>
      </c>
      <c r="O127" s="6">
        <f ca="1">(N$127/N$13+MIN(ABS(OFFSET(Assumptions!$B$36,0,$C$1)-N$127/N$13),OFFSET(Assumptions!$B$37,0,$C$1))*SIGN(OFFSET(Assumptions!$B$36,0,$C$1)-N$127/N$13))*O$13</f>
        <v>30.056573052297292</v>
      </c>
      <c r="P127" s="6">
        <f ca="1">(O$127/O$13+MIN(ABS(OFFSET(Assumptions!$B$36,0,$C$1)-O$127/O$13),OFFSET(Assumptions!$B$37,0,$C$1))*SIGN(OFFSET(Assumptions!$B$36,0,$C$1)-O$127/O$13))*P$13</f>
        <v>31.359207263823421</v>
      </c>
      <c r="Q127" s="6">
        <f ca="1">(P$127/P$13+MIN(ABS(OFFSET(Assumptions!$B$36,0,$C$1)-P$127/P$13),OFFSET(Assumptions!$B$37,0,$C$1))*SIGN(OFFSET(Assumptions!$B$36,0,$C$1)-P$127/P$13))*Q$13</f>
        <v>32.7066986880996</v>
      </c>
      <c r="R127" s="6">
        <f ca="1">(Q$127/Q$13+MIN(ABS(OFFSET(Assumptions!$B$36,0,$C$1)-Q$127/Q$13),OFFSET(Assumptions!$B$37,0,$C$1))*SIGN(OFFSET(Assumptions!$B$36,0,$C$1)-Q$127/Q$13))*R$13</f>
        <v>34.0967287410881</v>
      </c>
      <c r="S127" s="6">
        <f ca="1">(R$127/R$13+MIN(ABS(OFFSET(Assumptions!$B$36,0,$C$1)-R$127/R$13),OFFSET(Assumptions!$B$37,0,$C$1))*SIGN(OFFSET(Assumptions!$B$36,0,$C$1)-R$127/R$13))*S$13</f>
        <v>35.533437326971047</v>
      </c>
      <c r="T127" s="6">
        <f ca="1">(S$127/S$13+MIN(ABS(OFFSET(Assumptions!$B$36,0,$C$1)-S$127/S$13),OFFSET(Assumptions!$B$37,0,$C$1))*SIGN(OFFSET(Assumptions!$B$36,0,$C$1)-S$127/S$13))*T$13</f>
        <v>37.018131820492158</v>
      </c>
      <c r="U127" s="6">
        <f ca="1">(T$127/T$13+MIN(ABS(OFFSET(Assumptions!$B$36,0,$C$1)-T$127/T$13),OFFSET(Assumptions!$B$37,0,$C$1))*SIGN(OFFSET(Assumptions!$B$36,0,$C$1)-T$127/T$13))*U$13</f>
        <v>38.555300366008737</v>
      </c>
    </row>
    <row r="128" spans="1:21" x14ac:dyDescent="0.2">
      <c r="A128" s="1" t="s">
        <v>411</v>
      </c>
      <c r="B128" s="4" t="str">
        <f t="shared" si="92"/>
        <v>From Fiscal</v>
      </c>
      <c r="D128" s="14">
        <f>'Fiscal Forecasts'!D$209</f>
        <v>3.2029999999999998</v>
      </c>
      <c r="E128" s="14">
        <f>'Fiscal Forecasts'!E$209</f>
        <v>3.4710000000000001</v>
      </c>
      <c r="F128" s="14">
        <f>'Fiscal Forecasts'!F$209</f>
        <v>3.6</v>
      </c>
      <c r="G128" s="15">
        <f>'Fiscal Forecasts'!G$209</f>
        <v>3.653</v>
      </c>
      <c r="H128" s="15">
        <f>'Fiscal Forecasts'!H$209</f>
        <v>3.694</v>
      </c>
      <c r="I128" s="15">
        <f>'Fiscal Forecasts'!I$209</f>
        <v>3.7440000000000002</v>
      </c>
      <c r="J128" s="15">
        <f>'Fiscal Forecasts'!J$209</f>
        <v>3.806</v>
      </c>
      <c r="K128" s="15">
        <f>'Fiscal Forecasts'!K$209</f>
        <v>3.867</v>
      </c>
      <c r="L128" s="6">
        <f ca="1">(K$128/K$13+MIN(ABS(OFFSET(Assumptions!$B$38,0,$C$1)-K$128/K$13),OFFSET(Assumptions!$B$39,0,$C$1))*SIGN(OFFSET(Assumptions!$B$38,0,$C$1)-K$128/K$13))*L$13</f>
        <v>4.4145483111173238</v>
      </c>
      <c r="M128" s="6">
        <f ca="1">(L$128/L$13+MIN(ABS(OFFSET(Assumptions!$B$38,0,$C$1)-L$128/L$13),OFFSET(Assumptions!$B$39,0,$C$1))*SIGN(OFFSET(Assumptions!$B$38,0,$C$1)-L$128/L$13))*M$13</f>
        <v>4.9776138841896653</v>
      </c>
      <c r="N128" s="6">
        <f ca="1">(M$128/M$13+MIN(ABS(OFFSET(Assumptions!$B$38,0,$C$1)-M$128/M$13),OFFSET(Assumptions!$B$39,0,$C$1))*SIGN(OFFSET(Assumptions!$B$38,0,$C$1)-M$128/M$13))*N$13</f>
        <v>5.1994079433750979</v>
      </c>
      <c r="O128" s="6">
        <f ca="1">(N$128/N$13+MIN(ABS(OFFSET(Assumptions!$B$38,0,$C$1)-N$128/N$13),OFFSET(Assumptions!$B$39,0,$C$1))*SIGN(OFFSET(Assumptions!$B$38,0,$C$1)-N$128/N$13))*O$13</f>
        <v>5.4268812455536786</v>
      </c>
      <c r="P128" s="6">
        <f ca="1">(O$128/O$13+MIN(ABS(OFFSET(Assumptions!$B$38,0,$C$1)-O$128/O$13),OFFSET(Assumptions!$B$39,0,$C$1))*SIGN(OFFSET(Assumptions!$B$38,0,$C$1)-O$128/O$13))*P$13</f>
        <v>5.6620790893014519</v>
      </c>
      <c r="Q128" s="6">
        <f ca="1">(P$128/P$13+MIN(ABS(OFFSET(Assumptions!$B$38,0,$C$1)-P$128/P$13),OFFSET(Assumptions!$B$39,0,$C$1))*SIGN(OFFSET(Assumptions!$B$38,0,$C$1)-P$128/P$13))*Q$13</f>
        <v>5.9053761520179835</v>
      </c>
      <c r="R128" s="6">
        <f ca="1">(Q$128/Q$13+MIN(ABS(OFFSET(Assumptions!$B$38,0,$C$1)-Q$128/Q$13),OFFSET(Assumptions!$B$39,0,$C$1))*SIGN(OFFSET(Assumptions!$B$38,0,$C$1)-Q$128/Q$13))*R$13</f>
        <v>6.1563538004742409</v>
      </c>
      <c r="S128" s="6">
        <f ca="1">(R$128/R$13+MIN(ABS(OFFSET(Assumptions!$B$38,0,$C$1)-R$128/R$13),OFFSET(Assumptions!$B$39,0,$C$1))*SIGN(OFFSET(Assumptions!$B$38,0,$C$1)-R$128/R$13))*S$13</f>
        <v>6.4157595173697723</v>
      </c>
      <c r="T128" s="6">
        <f ca="1">(S$128/S$13+MIN(ABS(OFFSET(Assumptions!$B$38,0,$C$1)-S$128/S$13),OFFSET(Assumptions!$B$39,0,$C$1))*SIGN(OFFSET(Assumptions!$B$38,0,$C$1)-S$128/S$13))*T$13</f>
        <v>6.6838293564777507</v>
      </c>
      <c r="U128" s="6">
        <f ca="1">(T$128/T$13+MIN(ABS(OFFSET(Assumptions!$B$38,0,$C$1)-T$128/T$13),OFFSET(Assumptions!$B$39,0,$C$1))*SIGN(OFFSET(Assumptions!$B$38,0,$C$1)-T$128/T$13))*U$13</f>
        <v>6.961373677196022</v>
      </c>
    </row>
    <row r="129" spans="1:21" x14ac:dyDescent="0.2">
      <c r="A129" s="1" t="s">
        <v>254</v>
      </c>
      <c r="B129" s="4" t="str">
        <f t="shared" si="92"/>
        <v>From Fiscal</v>
      </c>
      <c r="D129" s="14">
        <f>'Fiscal Forecasts'!D$210</f>
        <v>10.078000000000001</v>
      </c>
      <c r="E129" s="14">
        <f>'Fiscal Forecasts'!E$210</f>
        <v>9.9160000000000004</v>
      </c>
      <c r="F129" s="14">
        <f>'Fiscal Forecasts'!F$210</f>
        <v>10.595000000000001</v>
      </c>
      <c r="G129" s="15">
        <f>'Fiscal Forecasts'!G$210</f>
        <v>11.025</v>
      </c>
      <c r="H129" s="15">
        <f>'Fiscal Forecasts'!H$210</f>
        <v>11.567</v>
      </c>
      <c r="I129" s="15">
        <f>'Fiscal Forecasts'!I$210</f>
        <v>12.698</v>
      </c>
      <c r="J129" s="15">
        <f>'Fiscal Forecasts'!J$210</f>
        <v>13.669999999999998</v>
      </c>
      <c r="K129" s="15">
        <f>'Fiscal Forecasts'!K$210</f>
        <v>14.614999999999998</v>
      </c>
      <c r="L129" s="6">
        <f ca="1">(K$129/K$13+MIN(ABS(OFFSET(Assumptions!$B$40,0,$C$1)-K$129/K$13),OFFSET(Assumptions!$B$41,0,$C$1))*SIGN(OFFSET(Assumptions!$B$40,0,$C$1)-K$129/K$13))*L$13</f>
        <v>15.746441456496093</v>
      </c>
      <c r="M129" s="6">
        <f ca="1">(L$129/L$13+MIN(ABS(OFFSET(Assumptions!$B$40,0,$C$1)-L$129/L$13),OFFSET(Assumptions!$B$41,0,$C$1))*SIGN(OFFSET(Assumptions!$B$40,0,$C$1)-L$129/L$13))*M$13</f>
        <v>16.464415155396583</v>
      </c>
      <c r="N129" s="6">
        <f ca="1">(M$129/M$13+MIN(ABS(OFFSET(Assumptions!$B$40,0,$C$1)-M$129/M$13),OFFSET(Assumptions!$B$41,0,$C$1))*SIGN(OFFSET(Assumptions!$B$40,0,$C$1)-M$129/M$13))*N$13</f>
        <v>17.198041658856091</v>
      </c>
      <c r="O129" s="6">
        <f ca="1">(N$129/N$13+MIN(ABS(OFFSET(Assumptions!$B$40,0,$C$1)-N$129/N$13),OFFSET(Assumptions!$B$41,0,$C$1))*SIGN(OFFSET(Assumptions!$B$40,0,$C$1)-N$129/N$13))*O$13</f>
        <v>17.950453350677549</v>
      </c>
      <c r="P129" s="6">
        <f ca="1">(O$129/O$13+MIN(ABS(OFFSET(Assumptions!$B$40,0,$C$1)-O$129/O$13),OFFSET(Assumptions!$B$41,0,$C$1))*SIGN(OFFSET(Assumptions!$B$40,0,$C$1)-O$129/O$13))*P$13</f>
        <v>18.728415449227878</v>
      </c>
      <c r="Q129" s="6">
        <f ca="1">(P$129/P$13+MIN(ABS(OFFSET(Assumptions!$B$40,0,$C$1)-P$129/P$13),OFFSET(Assumptions!$B$41,0,$C$1))*SIGN(OFFSET(Assumptions!$B$40,0,$C$1)-P$129/P$13))*Q$13</f>
        <v>19.533167272059483</v>
      </c>
      <c r="R129" s="6">
        <f ca="1">(Q$129/Q$13+MIN(ABS(OFFSET(Assumptions!$B$40,0,$C$1)-Q$129/Q$13),OFFSET(Assumptions!$B$41,0,$C$1))*SIGN(OFFSET(Assumptions!$B$40,0,$C$1)-Q$129/Q$13))*R$13</f>
        <v>20.363324109260947</v>
      </c>
      <c r="S129" s="6">
        <f ca="1">(R$129/R$13+MIN(ABS(OFFSET(Assumptions!$B$40,0,$C$1)-R$129/R$13),OFFSET(Assumptions!$B$41,0,$C$1))*SIGN(OFFSET(Assumptions!$B$40,0,$C$1)-R$129/R$13))*S$13</f>
        <v>21.221358403607706</v>
      </c>
      <c r="T129" s="6">
        <f ca="1">(S$129/S$13+MIN(ABS(OFFSET(Assumptions!$B$40,0,$C$1)-S$129/S$13),OFFSET(Assumptions!$B$41,0,$C$1))*SIGN(OFFSET(Assumptions!$B$40,0,$C$1)-S$129/S$13))*T$13</f>
        <v>22.108050948349483</v>
      </c>
      <c r="U129" s="6">
        <f ca="1">(T$129/T$13+MIN(ABS(OFFSET(Assumptions!$B$40,0,$C$1)-T$129/T$13),OFFSET(Assumptions!$B$41,0,$C$1))*SIGN(OFFSET(Assumptions!$B$40,0,$C$1)-T$129/T$13))*U$13</f>
        <v>23.026082163032992</v>
      </c>
    </row>
    <row r="130" spans="1:21" ht="15" x14ac:dyDescent="0.25">
      <c r="A130" s="2" t="s">
        <v>408</v>
      </c>
      <c r="D130" s="34">
        <f t="shared" ref="D130:U130" si="93">SUM(D$125:D$129)</f>
        <v>66.055000000000007</v>
      </c>
      <c r="E130" s="34">
        <f t="shared" si="93"/>
        <v>69.667999999999992</v>
      </c>
      <c r="F130" s="34">
        <f t="shared" si="93"/>
        <v>74.972999999999985</v>
      </c>
      <c r="G130" s="33">
        <f t="shared" si="93"/>
        <v>78.825000000000017</v>
      </c>
      <c r="H130" s="33">
        <f t="shared" si="93"/>
        <v>83.240999999999985</v>
      </c>
      <c r="I130" s="33">
        <f t="shared" si="93"/>
        <v>88.187000000000012</v>
      </c>
      <c r="J130" s="33">
        <f t="shared" si="93"/>
        <v>93.02000000000001</v>
      </c>
      <c r="K130" s="33">
        <f t="shared" si="93"/>
        <v>98.046999999999997</v>
      </c>
      <c r="L130" s="37">
        <f t="shared" ca="1" si="93"/>
        <v>102.18896386656982</v>
      </c>
      <c r="M130" s="37">
        <f t="shared" ca="1" si="93"/>
        <v>107.21014519793125</v>
      </c>
      <c r="N130" s="37">
        <f t="shared" ca="1" si="93"/>
        <v>111.98724801115594</v>
      </c>
      <c r="O130" s="37">
        <f t="shared" ca="1" si="93"/>
        <v>116.88667298115614</v>
      </c>
      <c r="P130" s="37">
        <f t="shared" ca="1" si="93"/>
        <v>121.95247269264667</v>
      </c>
      <c r="Q130" s="37">
        <f t="shared" ca="1" si="93"/>
        <v>127.19271712038733</v>
      </c>
      <c r="R130" s="37">
        <f t="shared" ca="1" si="93"/>
        <v>132.59838954867595</v>
      </c>
      <c r="S130" s="37">
        <f t="shared" ca="1" si="93"/>
        <v>138.18558960488741</v>
      </c>
      <c r="T130" s="37">
        <f t="shared" ca="1" si="93"/>
        <v>143.95940152413615</v>
      </c>
      <c r="U130" s="37">
        <f t="shared" ca="1" si="93"/>
        <v>149.93727920114509</v>
      </c>
    </row>
    <row r="131" spans="1:21" x14ac:dyDescent="0.2">
      <c r="A131" s="1" t="s">
        <v>409</v>
      </c>
      <c r="B131" s="4" t="str">
        <f t="shared" si="92"/>
        <v>From Fiscal</v>
      </c>
      <c r="D131" s="14">
        <f>D$130-'Fiscal Forecasts'!D$149</f>
        <v>-0.58099999999998886</v>
      </c>
      <c r="E131" s="14">
        <f>E$130-'Fiscal Forecasts'!E$149</f>
        <v>-0.77700000000000102</v>
      </c>
      <c r="F131" s="14">
        <f>F$130-'Fiscal Forecasts'!F$149</f>
        <v>-0.67100000000002069</v>
      </c>
      <c r="G131" s="15">
        <f>G$130-'Fiscal Forecasts'!G$149</f>
        <v>-0.71199999999998909</v>
      </c>
      <c r="H131" s="15">
        <f>H$130-'Fiscal Forecasts'!H$149</f>
        <v>-0.6600000000000108</v>
      </c>
      <c r="I131" s="15">
        <f>I$130-'Fiscal Forecasts'!I$149</f>
        <v>-0.84599999999998943</v>
      </c>
      <c r="J131" s="15">
        <f>J$130-'Fiscal Forecasts'!J$149</f>
        <v>-0.90899999999999181</v>
      </c>
      <c r="K131" s="15">
        <f>K$130-'Fiscal Forecasts'!K$149</f>
        <v>-0.97100000000000364</v>
      </c>
      <c r="L131" s="6">
        <f ca="1">(K$131/K$13-MIN(ABS(OFFSET(Assumptions!$B$42,0,$C$1)+K$131/K$13),OFFSET(Assumptions!$B$43,0,$C$1))*SIGN(OFFSET(Assumptions!$B$42,0,$C$1)+K$131/K$13))*L$13</f>
        <v>-1.0985889388253089</v>
      </c>
      <c r="M131" s="6">
        <f ca="1">(L$131/L$13-MIN(ABS(OFFSET(Assumptions!$B$42,0,$C$1)+L$131/L$13),OFFSET(Assumptions!$B$43,0,$C$1))*SIGN(OFFSET(Assumptions!$B$42,0,$C$1)+L$131/L$13))*M$13</f>
        <v>-1.1486801271206921</v>
      </c>
      <c r="N131" s="6">
        <f ca="1">(M$131/M$13-MIN(ABS(OFFSET(Assumptions!$B$42,0,$C$1)+M$131/M$13),OFFSET(Assumptions!$B$43,0,$C$1))*SIGN(OFFSET(Assumptions!$B$42,0,$C$1)+M$131/M$13))*N$13</f>
        <v>-1.1998633715480995</v>
      </c>
      <c r="O131" s="6">
        <f ca="1">(N$131/N$13-MIN(ABS(OFFSET(Assumptions!$B$42,0,$C$1)+N$131/N$13),OFFSET(Assumptions!$B$43,0,$C$1))*SIGN(OFFSET(Assumptions!$B$42,0,$C$1)+N$131/N$13))*O$13</f>
        <v>-1.2523572105123872</v>
      </c>
      <c r="P131" s="6">
        <f ca="1">(O$131/O$13-MIN(ABS(OFFSET(Assumptions!$B$42,0,$C$1)+O$131/O$13),OFFSET(Assumptions!$B$43,0,$C$1))*SIGN(OFFSET(Assumptions!$B$42,0,$C$1)+O$131/O$13))*P$13</f>
        <v>-1.3066336359926427</v>
      </c>
      <c r="Q131" s="6">
        <f ca="1">(P$131/P$13-MIN(ABS(OFFSET(Assumptions!$B$42,0,$C$1)+P$131/P$13),OFFSET(Assumptions!$B$43,0,$C$1))*SIGN(OFFSET(Assumptions!$B$42,0,$C$1)+P$131/P$13))*Q$13</f>
        <v>-1.3627791120041501</v>
      </c>
      <c r="R131" s="6">
        <f ca="1">(Q$131/Q$13-MIN(ABS(OFFSET(Assumptions!$B$42,0,$C$1)+Q$131/Q$13),OFFSET(Assumptions!$B$43,0,$C$1))*SIGN(OFFSET(Assumptions!$B$42,0,$C$1)+Q$131/Q$13))*R$13</f>
        <v>-1.4206970308786711</v>
      </c>
      <c r="S131" s="6">
        <f ca="1">(R$131/R$13-MIN(ABS(OFFSET(Assumptions!$B$42,0,$C$1)+R$131/R$13),OFFSET(Assumptions!$B$43,0,$C$1))*SIGN(OFFSET(Assumptions!$B$42,0,$C$1)+R$131/R$13))*S$13</f>
        <v>-1.4805598886237936</v>
      </c>
      <c r="T131" s="6">
        <f ca="1">(S$131/S$13-MIN(ABS(OFFSET(Assumptions!$B$42,0,$C$1)+S$131/S$13),OFFSET(Assumptions!$B$43,0,$C$1))*SIGN(OFFSET(Assumptions!$B$42,0,$C$1)+S$131/S$13))*T$13</f>
        <v>-1.5424221591871734</v>
      </c>
      <c r="U131" s="6">
        <f ca="1">(T$131/T$13-MIN(ABS(OFFSET(Assumptions!$B$42,0,$C$1)+T$131/T$13),OFFSET(Assumptions!$B$43,0,$C$1))*SIGN(OFFSET(Assumptions!$B$42,0,$C$1)+T$131/T$13))*U$13</f>
        <v>-1.6064708485836974</v>
      </c>
    </row>
    <row r="132" spans="1:21" ht="15" x14ac:dyDescent="0.25">
      <c r="A132" s="2" t="s">
        <v>410</v>
      </c>
      <c r="D132" s="34">
        <f>SUM(D$130,-D$131)</f>
        <v>66.635999999999996</v>
      </c>
      <c r="E132" s="34">
        <f>SUM(E$130,-E$131)</f>
        <v>70.444999999999993</v>
      </c>
      <c r="F132" s="34">
        <f>SUM(F$130,-F$131)</f>
        <v>75.644000000000005</v>
      </c>
      <c r="G132" s="33">
        <f t="shared" ref="G132:U132" si="94">SUM(G$130,-G$131)</f>
        <v>79.537000000000006</v>
      </c>
      <c r="H132" s="33">
        <f t="shared" si="94"/>
        <v>83.900999999999996</v>
      </c>
      <c r="I132" s="33">
        <f t="shared" si="94"/>
        <v>89.033000000000001</v>
      </c>
      <c r="J132" s="33">
        <f t="shared" si="94"/>
        <v>93.929000000000002</v>
      </c>
      <c r="K132" s="33">
        <f t="shared" si="94"/>
        <v>99.018000000000001</v>
      </c>
      <c r="L132" s="37">
        <f t="shared" ca="1" si="94"/>
        <v>103.28755280539514</v>
      </c>
      <c r="M132" s="37">
        <f t="shared" ca="1" si="94"/>
        <v>108.35882532505195</v>
      </c>
      <c r="N132" s="37">
        <f t="shared" ca="1" si="94"/>
        <v>113.18711138270405</v>
      </c>
      <c r="O132" s="37">
        <f t="shared" ca="1" si="94"/>
        <v>118.13903019166852</v>
      </c>
      <c r="P132" s="37">
        <f t="shared" ca="1" si="94"/>
        <v>123.25910632863931</v>
      </c>
      <c r="Q132" s="37">
        <f t="shared" ca="1" si="94"/>
        <v>128.55549623239148</v>
      </c>
      <c r="R132" s="37">
        <f t="shared" ca="1" si="94"/>
        <v>134.01908657955462</v>
      </c>
      <c r="S132" s="37">
        <f t="shared" ca="1" si="94"/>
        <v>139.6661494935112</v>
      </c>
      <c r="T132" s="37">
        <f t="shared" ca="1" si="94"/>
        <v>145.50182368332332</v>
      </c>
      <c r="U132" s="37">
        <f t="shared" ca="1" si="94"/>
        <v>151.54375004972877</v>
      </c>
    </row>
    <row r="133" spans="1:21" ht="15" x14ac:dyDescent="0.25">
      <c r="A133" s="2"/>
      <c r="D133" s="46"/>
      <c r="E133" s="46"/>
      <c r="F133" s="46"/>
      <c r="G133" s="47"/>
      <c r="H133" s="47"/>
      <c r="I133" s="47"/>
      <c r="J133" s="47"/>
      <c r="K133" s="47"/>
      <c r="L133" s="48"/>
      <c r="M133" s="48"/>
      <c r="N133" s="48"/>
      <c r="O133" s="48"/>
      <c r="P133" s="48"/>
      <c r="Q133" s="48"/>
      <c r="R133" s="48"/>
      <c r="S133" s="48"/>
      <c r="T133" s="48"/>
      <c r="U133" s="48"/>
    </row>
    <row r="134" spans="1:21" x14ac:dyDescent="0.2">
      <c r="A134" s="18" t="s">
        <v>269</v>
      </c>
      <c r="D134" s="6"/>
      <c r="E134" s="6"/>
      <c r="F134" s="6"/>
    </row>
    <row r="135" spans="1:21" x14ac:dyDescent="0.2">
      <c r="A135" s="1" t="s">
        <v>1244</v>
      </c>
      <c r="B135" s="4" t="str">
        <f>$B$37</f>
        <v>From Fiscal</v>
      </c>
      <c r="D135" s="14">
        <f>'Fiscal Forecasts'!D$357</f>
        <v>0.13500000000000001</v>
      </c>
      <c r="E135" s="14">
        <f>'Fiscal Forecasts'!E$357</f>
        <v>0.27100000000000002</v>
      </c>
      <c r="F135" s="14">
        <f>'Fiscal Forecasts'!F$357</f>
        <v>0.44400000000000001</v>
      </c>
      <c r="G135" s="15">
        <f>'Fiscal Forecasts'!G$357</f>
        <v>0.64200000000000002</v>
      </c>
      <c r="H135" s="15">
        <f>'Fiscal Forecasts'!H$357</f>
        <v>0.78400000000000003</v>
      </c>
      <c r="I135" s="15">
        <f>'Fiscal Forecasts'!I$357</f>
        <v>0.875</v>
      </c>
      <c r="J135" s="15">
        <f>'Fiscal Forecasts'!J$357</f>
        <v>0.93</v>
      </c>
      <c r="K135" s="15">
        <f>'Fiscal Forecasts'!K$357</f>
        <v>0.96399999999999997</v>
      </c>
      <c r="L135" s="6">
        <f ca="1">L$304</f>
        <v>0.56741835609287561</v>
      </c>
      <c r="M135" s="6">
        <f t="shared" ref="M135:U135" ca="1" si="95">M$304</f>
        <v>0.59329032577399821</v>
      </c>
      <c r="N135" s="6">
        <f t="shared" ca="1" si="95"/>
        <v>0.61972633963333446</v>
      </c>
      <c r="O135" s="6">
        <f t="shared" ca="1" si="95"/>
        <v>0.64683927219386939</v>
      </c>
      <c r="P135" s="6">
        <f t="shared" ca="1" si="95"/>
        <v>0.67487290609658723</v>
      </c>
      <c r="Q135" s="6">
        <f t="shared" ca="1" si="95"/>
        <v>0.70387189978258446</v>
      </c>
      <c r="R135" s="6">
        <f t="shared" ca="1" si="95"/>
        <v>0.73378635564015149</v>
      </c>
      <c r="S135" s="6">
        <f t="shared" ca="1" si="95"/>
        <v>0.76470536741272543</v>
      </c>
      <c r="T135" s="6">
        <f t="shared" ca="1" si="95"/>
        <v>0.79665707075390335</v>
      </c>
      <c r="U135" s="6">
        <f t="shared" ca="1" si="95"/>
        <v>0.82973805378850296</v>
      </c>
    </row>
    <row r="136" spans="1:21" x14ac:dyDescent="0.2">
      <c r="A136" s="1" t="s">
        <v>1261</v>
      </c>
      <c r="B136" s="4" t="str">
        <f>$B$37</f>
        <v>From Fiscal</v>
      </c>
      <c r="D136" s="14">
        <f>'Fiscal Forecasts'!D$150-D$135</f>
        <v>0.85799999999999998</v>
      </c>
      <c r="E136" s="14">
        <f>'Fiscal Forecasts'!E$150-E$135</f>
        <v>0.84500000000000008</v>
      </c>
      <c r="F136" s="14">
        <f>'Fiscal Forecasts'!F$150-F$135</f>
        <v>1.014</v>
      </c>
      <c r="G136" s="15">
        <f>'Fiscal Forecasts'!G$150-G$135</f>
        <v>0.94400000000000006</v>
      </c>
      <c r="H136" s="15">
        <f>'Fiscal Forecasts'!H$150-H$135</f>
        <v>0.94700000000000006</v>
      </c>
      <c r="I136" s="15">
        <f>'Fiscal Forecasts'!I$150-I$135</f>
        <v>0.91700000000000004</v>
      </c>
      <c r="J136" s="15">
        <f>'Fiscal Forecasts'!J$150-J$135</f>
        <v>0.91499999999999992</v>
      </c>
      <c r="K136" s="15">
        <f>'Fiscal Forecasts'!K$150-K$135</f>
        <v>0.92900000000000005</v>
      </c>
      <c r="L136" s="6">
        <f ca="1">IF(L$6=OFFSET(Assumptions!$B$8,0,$C$1),AVERAGE(I$136/I$13,J$136/J$13,K$136/K$13),K$136/K$13)*L$13</f>
        <v>1.0076951954222257</v>
      </c>
      <c r="M136" s="6">
        <f ca="1">IF(M$6=OFFSET(Assumptions!$B$8,0,$C$1),AVERAGE(J$136/J$13,K$136/K$13,L$136/L$13),L$136/L$13)*M$13</f>
        <v>1.0536419986298213</v>
      </c>
      <c r="N136" s="6">
        <f ca="1">IF(N$6=OFFSET(Assumptions!$B$8,0,$C$1),AVERAGE(K$136/K$13,L$136/L$13,M$136/M$13),M$136/M$13)*N$13</f>
        <v>1.1005905047296278</v>
      </c>
      <c r="O136" s="6">
        <f ca="1">IF(O$6=OFFSET(Assumptions!$B$8,0,$C$1),AVERAGE(L$136/L$13,M$136/M$13,N$136/N$13),N$136/N$13)*O$13</f>
        <v>1.1487411709561992</v>
      </c>
      <c r="P136" s="6">
        <f ca="1">IF(P$6=OFFSET(Assumptions!$B$8,0,$C$1),AVERAGE(M$136/M$13,N$136/N$13,O$136/O$13),O$136/O$13)*P$13</f>
        <v>1.198526938178313</v>
      </c>
      <c r="Q136" s="6">
        <f ca="1">IF(Q$6=OFFSET(Assumptions!$B$8,0,$C$1),AVERAGE(N$136/N$13,O$136/O$13,P$136/P$13),P$136/P$13)*Q$13</f>
        <v>1.2500271166545196</v>
      </c>
      <c r="R136" s="6">
        <f ca="1">IF(R$6=OFFSET(Assumptions!$B$8,0,$C$1),AVERAGE(O$136/O$13,P$136/P$13,Q$136/Q$13),Q$136/Q$13)*R$13</f>
        <v>1.3031530917267933</v>
      </c>
      <c r="S136" s="6">
        <f ca="1">IF(S$6=OFFSET(Assumptions!$B$8,0,$C$1),AVERAGE(P$136/P$13,Q$136/Q$13,R$136/R$13),R$136/R$13)*S$13</f>
        <v>1.3580630876334574</v>
      </c>
      <c r="T136" s="6">
        <f ca="1">IF(T$6=OFFSET(Assumptions!$B$8,0,$C$1),AVERAGE(Q$136/Q$13,R$136/R$13,S$136/S$13),S$136/S$13)*T$13</f>
        <v>1.4148070713215548</v>
      </c>
      <c r="U136" s="6">
        <f ca="1">IF(U$6=OFFSET(Assumptions!$B$8,0,$C$1),AVERAGE(R$136/R$13,S$136/S$13,T$136/T$13),T$136/T$13)*U$13</f>
        <v>1.4735565765250027</v>
      </c>
    </row>
    <row r="137" spans="1:21" ht="15" x14ac:dyDescent="0.25">
      <c r="A137" s="2" t="s">
        <v>418</v>
      </c>
      <c r="B137" s="4"/>
      <c r="D137" s="34">
        <f>SUM(D$135:D$136)</f>
        <v>0.99299999999999999</v>
      </c>
      <c r="E137" s="34">
        <f t="shared" ref="E137:U137" si="96">SUM(E$135:E$136)</f>
        <v>1.1160000000000001</v>
      </c>
      <c r="F137" s="34">
        <f t="shared" si="96"/>
        <v>1.458</v>
      </c>
      <c r="G137" s="33">
        <f t="shared" si="96"/>
        <v>1.5860000000000001</v>
      </c>
      <c r="H137" s="33">
        <f t="shared" si="96"/>
        <v>1.7310000000000001</v>
      </c>
      <c r="I137" s="33">
        <f t="shared" si="96"/>
        <v>1.792</v>
      </c>
      <c r="J137" s="33">
        <f t="shared" si="96"/>
        <v>1.845</v>
      </c>
      <c r="K137" s="33">
        <f t="shared" si="96"/>
        <v>1.893</v>
      </c>
      <c r="L137" s="37">
        <f t="shared" ca="1" si="96"/>
        <v>1.5751135515151014</v>
      </c>
      <c r="M137" s="37">
        <f t="shared" ca="1" si="96"/>
        <v>1.6469323244038194</v>
      </c>
      <c r="N137" s="37">
        <f t="shared" ca="1" si="96"/>
        <v>1.7203168443629622</v>
      </c>
      <c r="O137" s="37">
        <f t="shared" ca="1" si="96"/>
        <v>1.7955804431500686</v>
      </c>
      <c r="P137" s="37">
        <f t="shared" ca="1" si="96"/>
        <v>1.8733998442749002</v>
      </c>
      <c r="Q137" s="37">
        <f t="shared" ca="1" si="96"/>
        <v>1.953899016437104</v>
      </c>
      <c r="R137" s="37">
        <f t="shared" ca="1" si="96"/>
        <v>2.0369394473669447</v>
      </c>
      <c r="S137" s="37">
        <f t="shared" ca="1" si="96"/>
        <v>2.1227684550461827</v>
      </c>
      <c r="T137" s="37">
        <f t="shared" ca="1" si="96"/>
        <v>2.2114641420754584</v>
      </c>
      <c r="U137" s="37">
        <f t="shared" ca="1" si="96"/>
        <v>2.3032946303135056</v>
      </c>
    </row>
    <row r="138" spans="1:21" x14ac:dyDescent="0.2">
      <c r="A138" s="1" t="s">
        <v>256</v>
      </c>
      <c r="B138" s="4" t="str">
        <f>$B$37</f>
        <v>From Fiscal</v>
      </c>
      <c r="D138" s="14">
        <f>'Fiscal Forecasts'!D$213</f>
        <v>3.2759999999999998</v>
      </c>
      <c r="E138" s="14">
        <f>'Fiscal Forecasts'!E$213</f>
        <v>2.819</v>
      </c>
      <c r="F138" s="14">
        <f>'Fiscal Forecasts'!F$213</f>
        <v>2.8820000000000001</v>
      </c>
      <c r="G138" s="15">
        <f>'Fiscal Forecasts'!G$213</f>
        <v>2.7210000000000001</v>
      </c>
      <c r="H138" s="15">
        <f>'Fiscal Forecasts'!H$213</f>
        <v>2.8740000000000001</v>
      </c>
      <c r="I138" s="15">
        <f>'Fiscal Forecasts'!I$213</f>
        <v>3.262</v>
      </c>
      <c r="J138" s="15">
        <f>'Fiscal Forecasts'!J$213</f>
        <v>3.456</v>
      </c>
      <c r="K138" s="15">
        <f>'Fiscal Forecasts'!K$213</f>
        <v>3.694</v>
      </c>
      <c r="L138" s="6">
        <f>K$138*(Exogenous!S$23-Exogenous!S$24)/(Exogenous!R$23-Exogenous!R$24)</f>
        <v>3.8322981110532162</v>
      </c>
      <c r="M138" s="6">
        <f>L$138*(Exogenous!T$23-Exogenous!T$24)/(Exogenous!S$23-Exogenous!S$24)</f>
        <v>4.1091474653701336</v>
      </c>
      <c r="N138" s="6">
        <f>M$138*(Exogenous!U$23-Exogenous!U$24)/(Exogenous!T$23-Exogenous!T$24)</f>
        <v>4.2475288950526107</v>
      </c>
      <c r="O138" s="6">
        <f>N$138*(Exogenous!V$23-Exogenous!V$24)/(Exogenous!U$23-Exogenous!U$24)</f>
        <v>4.5106665953986109</v>
      </c>
      <c r="P138" s="6">
        <f>O$138*(Exogenous!W$23-Exogenous!W$24)/(Exogenous!V$23-Exogenous!V$24)</f>
        <v>4.6668325072750489</v>
      </c>
      <c r="Q138" s="6">
        <f>P$138*(Exogenous!X$23-Exogenous!X$24)/(Exogenous!W$23-Exogenous!W$24)</f>
        <v>4.9758473105584233</v>
      </c>
      <c r="R138" s="6">
        <f>Q$138*(Exogenous!Y$23-Exogenous!Y$24)/(Exogenous!X$23-Exogenous!X$24)</f>
        <v>5.1407463021564057</v>
      </c>
      <c r="S138" s="6">
        <f>R$138*(Exogenous!Z$23-Exogenous!Z$24)/(Exogenous!Y$23-Exogenous!Y$24)</f>
        <v>5.4624886573886915</v>
      </c>
      <c r="T138" s="6">
        <f>S$138*(Exogenous!AA$23-Exogenous!AA$24)/(Exogenous!Z$23-Exogenous!Z$24)</f>
        <v>5.6455289019867108</v>
      </c>
      <c r="U138" s="6">
        <f>T$138*(Exogenous!AB$23-Exogenous!AB$24)/(Exogenous!AA$23-Exogenous!AA$24)</f>
        <v>6.0022611651195881</v>
      </c>
    </row>
    <row r="139" spans="1:21" x14ac:dyDescent="0.2">
      <c r="A139" s="1" t="s">
        <v>419</v>
      </c>
      <c r="B139" s="4" t="str">
        <f>$B$37</f>
        <v>From Fiscal</v>
      </c>
      <c r="D139" s="14">
        <f>'Fiscal Forecasts'!D$214-D$137</f>
        <v>0.68400000000000005</v>
      </c>
      <c r="E139" s="14">
        <f>'Fiscal Forecasts'!E$214-E$137</f>
        <v>0.70799999999999996</v>
      </c>
      <c r="F139" s="14">
        <f>'Fiscal Forecasts'!F$214-F$137</f>
        <v>0.74099999999999988</v>
      </c>
      <c r="G139" s="15">
        <f>'Fiscal Forecasts'!G$214-G$137</f>
        <v>0.93300000000000005</v>
      </c>
      <c r="H139" s="15">
        <f>'Fiscal Forecasts'!H$214-H$137</f>
        <v>1.0279999999999998</v>
      </c>
      <c r="I139" s="15">
        <f>'Fiscal Forecasts'!I$214-I$137</f>
        <v>1.0519999999999998</v>
      </c>
      <c r="J139" s="15">
        <f>'Fiscal Forecasts'!J$214-J$137</f>
        <v>1.0719999999999998</v>
      </c>
      <c r="K139" s="15">
        <f>'Fiscal Forecasts'!K$214-K$137</f>
        <v>1.091</v>
      </c>
      <c r="L139" s="6">
        <f ca="1">IF(L$6=OFFSET(Assumptions!$B$8,0,$C$1),AVERAGE(I$139/I$13,J$139/J$13,K$139/K$13),K$139/K$13)*L$13</f>
        <v>1.1729831461220797</v>
      </c>
      <c r="M139" s="6">
        <f ca="1">IF(M$6=OFFSET(Assumptions!$B$8,0,$C$1),AVERAGE(J$139/J$13,K$139/K$13,L$139/L$13),L$139/L$13)*M$13</f>
        <v>1.2264664077527114</v>
      </c>
      <c r="N139" s="6">
        <f ca="1">IF(N$6=OFFSET(Assumptions!$B$8,0,$C$1),AVERAGE(K$139/K$13,L$139/L$13,M$139/M$13),M$139/M$13)*N$13</f>
        <v>1.281115677334282</v>
      </c>
      <c r="O139" s="6">
        <f ca="1">IF(O$6=OFFSET(Assumptions!$B$8,0,$C$1),AVERAGE(L$139/L$13,M$139/M$13,N$139/N$13),N$139/N$13)*O$13</f>
        <v>1.3371642922476963</v>
      </c>
      <c r="P139" s="6">
        <f ca="1">IF(P$6=OFFSET(Assumptions!$B$8,0,$C$1),AVERAGE(M$139/M$13,N$139/N$13,O$139/O$13),O$139/O$13)*P$13</f>
        <v>1.3951162068083565</v>
      </c>
      <c r="Q139" s="6">
        <f ca="1">IF(Q$6=OFFSET(Assumptions!$B$8,0,$C$1),AVERAGE(N$139/N$13,O$139/O$13,P$139/P$13),P$139/P$13)*Q$13</f>
        <v>1.4550637401987065</v>
      </c>
      <c r="R139" s="6">
        <f ca="1">IF(R$6=OFFSET(Assumptions!$B$8,0,$C$1),AVERAGE(O$139/O$13,P$139/P$13,Q$139/Q$13),Q$139/Q$13)*R$13</f>
        <v>1.5169037426758132</v>
      </c>
      <c r="S139" s="6">
        <f ca="1">IF(S$6=OFFSET(Assumptions!$B$8,0,$C$1),AVERAGE(P$139/P$13,Q$139/Q$13,R$139/R$13),R$139/R$13)*S$13</f>
        <v>1.5808203913258667</v>
      </c>
      <c r="T139" s="6">
        <f ca="1">IF(T$6=OFFSET(Assumptions!$B$8,0,$C$1),AVERAGE(Q$139/Q$13,R$139/R$13,S$139/S$13),S$139/S$13)*T$13</f>
        <v>1.6468718489614027</v>
      </c>
      <c r="U139" s="6">
        <f ca="1">IF(U$6=OFFSET(Assumptions!$B$8,0,$C$1),AVERAGE(R$139/R$13,S$139/S$13,T$139/T$13),T$139/T$13)*U$13</f>
        <v>1.7152577852640776</v>
      </c>
    </row>
    <row r="140" spans="1:21" ht="15" x14ac:dyDescent="0.25">
      <c r="A140" s="2" t="s">
        <v>420</v>
      </c>
      <c r="D140" s="34">
        <f t="shared" ref="D140:U140" si="97">SUM(D$137:D$139)</f>
        <v>4.9530000000000003</v>
      </c>
      <c r="E140" s="34">
        <f t="shared" si="97"/>
        <v>4.6429999999999998</v>
      </c>
      <c r="F140" s="34">
        <f t="shared" si="97"/>
        <v>5.0809999999999995</v>
      </c>
      <c r="G140" s="33">
        <f t="shared" si="97"/>
        <v>5.24</v>
      </c>
      <c r="H140" s="33">
        <f t="shared" si="97"/>
        <v>5.633</v>
      </c>
      <c r="I140" s="33">
        <f t="shared" si="97"/>
        <v>6.1059999999999999</v>
      </c>
      <c r="J140" s="33">
        <f t="shared" si="97"/>
        <v>6.3730000000000002</v>
      </c>
      <c r="K140" s="33">
        <f t="shared" si="97"/>
        <v>6.6779999999999999</v>
      </c>
      <c r="L140" s="37">
        <f t="shared" ca="1" si="97"/>
        <v>6.5803948086903965</v>
      </c>
      <c r="M140" s="37">
        <f t="shared" ca="1" si="97"/>
        <v>6.9825461975266645</v>
      </c>
      <c r="N140" s="37">
        <f t="shared" ca="1" si="97"/>
        <v>7.2489614167498546</v>
      </c>
      <c r="O140" s="37">
        <f t="shared" ca="1" si="97"/>
        <v>7.6434113307963756</v>
      </c>
      <c r="P140" s="37">
        <f t="shared" ca="1" si="97"/>
        <v>7.9353485583583065</v>
      </c>
      <c r="Q140" s="37">
        <f t="shared" ca="1" si="97"/>
        <v>8.3848100671942341</v>
      </c>
      <c r="R140" s="37">
        <f t="shared" ca="1" si="97"/>
        <v>8.6945894921991638</v>
      </c>
      <c r="S140" s="37">
        <f t="shared" ca="1" si="97"/>
        <v>9.1660775037607412</v>
      </c>
      <c r="T140" s="37">
        <f t="shared" ca="1" si="97"/>
        <v>9.5038648930235716</v>
      </c>
      <c r="U140" s="37">
        <f t="shared" ca="1" si="97"/>
        <v>10.020813580697171</v>
      </c>
    </row>
    <row r="141" spans="1:21" ht="15" x14ac:dyDescent="0.25">
      <c r="A141" s="2"/>
      <c r="D141" s="46"/>
      <c r="E141" s="46"/>
      <c r="F141" s="46"/>
      <c r="G141" s="47"/>
      <c r="H141" s="47"/>
      <c r="I141" s="47"/>
      <c r="J141" s="47"/>
      <c r="K141" s="47"/>
      <c r="L141" s="47"/>
      <c r="M141" s="47"/>
      <c r="N141" s="47"/>
      <c r="O141" s="47"/>
      <c r="P141" s="47"/>
      <c r="Q141" s="47"/>
      <c r="R141" s="47"/>
      <c r="S141" s="47"/>
      <c r="T141" s="47"/>
      <c r="U141" s="47"/>
    </row>
    <row r="142" spans="1:21" x14ac:dyDescent="0.2">
      <c r="A142" s="18" t="s">
        <v>143</v>
      </c>
    </row>
    <row r="143" spans="1:21" ht="15" x14ac:dyDescent="0.25">
      <c r="A143" s="2" t="s">
        <v>421</v>
      </c>
      <c r="B143" s="4" t="str">
        <f>$B$37</f>
        <v>From Fiscal</v>
      </c>
      <c r="D143" s="39">
        <f>'Fiscal Forecasts'!D$151</f>
        <v>1.393</v>
      </c>
      <c r="E143" s="39">
        <f>'Fiscal Forecasts'!E$151</f>
        <v>1.4530000000000001</v>
      </c>
      <c r="F143" s="39">
        <f>'Fiscal Forecasts'!F$151</f>
        <v>1.607</v>
      </c>
      <c r="G143" s="38">
        <f>'Fiscal Forecasts'!G$151</f>
        <v>1.6839999999999999</v>
      </c>
      <c r="H143" s="38">
        <f>'Fiscal Forecasts'!H$151</f>
        <v>1.976</v>
      </c>
      <c r="I143" s="38">
        <f>'Fiscal Forecasts'!I$151</f>
        <v>1.784</v>
      </c>
      <c r="J143" s="38">
        <f>'Fiscal Forecasts'!J$151</f>
        <v>1.7769999999999999</v>
      </c>
      <c r="K143" s="38">
        <f>'Fiscal Forecasts'!K$151</f>
        <v>1.718</v>
      </c>
      <c r="L143" s="7">
        <f ca="1">IF(L$6=OFFSET(Assumptions!$B$8,0,$C$1),AVERAGE(I$143/I$13,J$143/J$13,K$143/K$13),K$143/K$13)*L$13</f>
        <v>1.928132786216193</v>
      </c>
      <c r="M143" s="7">
        <f ca="1">IF(M$6=OFFSET(Assumptions!$B$8,0,$C$1),AVERAGE(J$143/J$13,K$143/K$13,L$143/L$13),L$143/L$13)*M$13</f>
        <v>2.0160478006856906</v>
      </c>
      <c r="N143" s="7">
        <f ca="1">IF(N$6=OFFSET(Assumptions!$B$8,0,$C$1),AVERAGE(K$143/K$13,L$143/L$13,M$143/M$13),M$143/M$13)*N$13</f>
        <v>2.1058794822161144</v>
      </c>
      <c r="O143" s="7">
        <f ca="1">IF(O$6=OFFSET(Assumptions!$B$8,0,$C$1),AVERAGE(L$143/L$13,M$143/M$13,N$143/N$13),N$143/N$13)*O$13</f>
        <v>2.1980113874304732</v>
      </c>
      <c r="P143" s="7">
        <f ca="1">IF(P$6=OFFSET(Assumptions!$B$8,0,$C$1),AVERAGE(M$143/M$13,N$143/N$13,O$143/O$13),O$143/O$13)*P$13</f>
        <v>2.2932719091675682</v>
      </c>
      <c r="Q143" s="7">
        <f ca="1">IF(Q$6=OFFSET(Assumptions!$B$8,0,$C$1),AVERAGE(N$143/N$13,O$143/O$13,P$143/P$13),P$143/P$13)*Q$13</f>
        <v>2.3918128003686547</v>
      </c>
      <c r="R143" s="7">
        <f ca="1">IF(R$6=OFFSET(Assumptions!$B$8,0,$C$1),AVERAGE(O$143/O$13,P$143/P$13,Q$143/Q$13),Q$143/Q$13)*R$13</f>
        <v>2.4934645049732751</v>
      </c>
      <c r="S143" s="7">
        <f ca="1">IF(S$6=OFFSET(Assumptions!$B$8,0,$C$1),AVERAGE(P$143/P$13,Q$143/Q$13,R$143/R$13),R$143/R$13)*S$13</f>
        <v>2.5985297706206665</v>
      </c>
      <c r="T143" s="7">
        <f ca="1">IF(T$6=OFFSET(Assumptions!$B$8,0,$C$1),AVERAGE(Q$143/Q$13,R$143/R$13,S$143/S$13),S$143/S$13)*T$13</f>
        <v>2.7071042045036169</v>
      </c>
      <c r="U143" s="7">
        <f ca="1">IF(U$6=OFFSET(Assumptions!$B$8,0,$C$1),AVERAGE(R$143/R$13,S$143/S$13,T$143/T$13),T$143/T$13)*U$13</f>
        <v>2.8195160207664536</v>
      </c>
    </row>
    <row r="144" spans="1:21" ht="15" x14ac:dyDescent="0.25">
      <c r="A144" s="2" t="s">
        <v>422</v>
      </c>
      <c r="B144" s="4" t="str">
        <f>$B$37</f>
        <v>From Fiscal</v>
      </c>
      <c r="D144" s="39">
        <f>'Fiscal Forecasts'!D$11</f>
        <v>16.866</v>
      </c>
      <c r="E144" s="39">
        <f>'Fiscal Forecasts'!E$11</f>
        <v>16.364000000000001</v>
      </c>
      <c r="F144" s="39">
        <f>'Fiscal Forecasts'!F$11</f>
        <v>16.870999999999999</v>
      </c>
      <c r="G144" s="38">
        <f>'Fiscal Forecasts'!G$11</f>
        <v>18.477</v>
      </c>
      <c r="H144" s="38">
        <f>'Fiscal Forecasts'!H$11</f>
        <v>19.236999999999998</v>
      </c>
      <c r="I144" s="38">
        <f>'Fiscal Forecasts'!I$11</f>
        <v>19.765000000000001</v>
      </c>
      <c r="J144" s="38">
        <f>'Fiscal Forecasts'!J$11</f>
        <v>20.263000000000002</v>
      </c>
      <c r="K144" s="38">
        <f>'Fiscal Forecasts'!K$11</f>
        <v>20.747</v>
      </c>
      <c r="L144" s="7">
        <f ca="1">SUM(L$143,IF(L$6=OFFSET(Assumptions!$B$8,0,$C$1),AVERAGE((I$144-I$143)/I$13,(J$144-J$143)/J$13,(K$144-K$143)/K$13),(K$144-K$143)/K$13)*L$13)</f>
        <v>22.169597892253343</v>
      </c>
      <c r="M144" s="7">
        <f ca="1">SUM(M$143,IF(M$6=OFFSET(Assumptions!$B$8,0,$C$1),AVERAGE((J$144-J$143)/J$13,(K$144-K$143)/K$13,(L$144-L$143)/L$13),(L$144-L$143)/L$13)*M$13)</f>
        <v>23.180441405425086</v>
      </c>
      <c r="N144" s="7">
        <f ca="1">SUM(N$143,IF(N$6=OFFSET(Assumptions!$B$8,0,$C$1),AVERAGE((K$144-K$143)/K$13,(L$144-L$143)/L$13,(M$144-M$143)/M$13),(M$144-M$143)/M$13)*N$13)</f>
        <v>24.213322684013107</v>
      </c>
      <c r="O144" s="7">
        <f ca="1">SUM(O$143,IF(O$6=OFFSET(Assumptions!$B$8,0,$C$1),AVERAGE((L$144-L$143)/L$13,(M$144-M$143)/M$13,(N$144-N$143)/N$13),(N$144-N$143)/N$13)*O$13)</f>
        <v>25.272651847570266</v>
      </c>
      <c r="P144" s="7">
        <f ca="1">SUM(P$143,IF(P$6=OFFSET(Assumptions!$B$8,0,$C$1),AVERAGE((M$144-M$143)/M$13,(N$144-N$143)/N$13,(O$144-O$143)/O$13),(O$144-O$143)/O$13)*P$13)</f>
        <v>26.367953725643751</v>
      </c>
      <c r="Q144" s="7">
        <f ca="1">SUM(Q$143,IF(Q$6=OFFSET(Assumptions!$B$8,0,$C$1),AVERAGE((N$144-N$143)/N$13,(O$144-O$143)/O$13,(P$144-P$143)/P$13),(P$144-P$143)/P$13)*Q$13)</f>
        <v>27.500973167815832</v>
      </c>
      <c r="R144" s="7">
        <f ca="1">SUM(R$143,IF(R$6=OFFSET(Assumptions!$B$8,0,$C$1),AVERAGE((O$144-O$143)/O$13,(P$144-P$143)/P$13,(Q$144-Q$143)/Q$13),(Q$144-Q$143)/Q$13)*R$13)</f>
        <v>28.669760624912609</v>
      </c>
      <c r="S144" s="7">
        <f ca="1">SUM(S$143,IF(S$6=OFFSET(Assumptions!$B$8,0,$C$1),AVERAGE((P$144-P$143)/P$13,(Q$144-Q$143)/Q$13,(R$144-R$143)/R$13),(R$144-R$143)/R$13)*S$13)</f>
        <v>29.877797077846132</v>
      </c>
      <c r="T144" s="7">
        <f ca="1">SUM(T$143,IF(T$6=OFFSET(Assumptions!$B$8,0,$C$1),AVERAGE((Q$144-Q$143)/Q$13,(R$144-R$143)/R$13,(S$144-S$143)/S$13),(S$144-S$143)/S$13)*T$13)</f>
        <v>31.126181814505124</v>
      </c>
      <c r="U144" s="7">
        <f ca="1">SUM(U$143,IF(U$6=OFFSET(Assumptions!$B$8,0,$C$1),AVERAGE((R$144-R$143)/R$13,(S$144-S$143)/S$13,(T$144-T$143)/T$13),(T$144-T$143)/T$13)*U$13)</f>
        <v>32.418688628714506</v>
      </c>
    </row>
    <row r="145" spans="1:21" ht="15" x14ac:dyDescent="0.25">
      <c r="A145" s="2"/>
      <c r="B145" s="4"/>
      <c r="D145" s="39"/>
      <c r="E145" s="39"/>
      <c r="F145" s="39"/>
      <c r="G145" s="38"/>
      <c r="H145" s="38"/>
      <c r="I145" s="38"/>
      <c r="J145" s="38"/>
      <c r="K145" s="38"/>
      <c r="L145" s="7"/>
      <c r="M145" s="7"/>
      <c r="N145" s="7"/>
      <c r="O145" s="7"/>
      <c r="P145" s="7"/>
      <c r="Q145" s="7"/>
      <c r="R145" s="7"/>
      <c r="S145" s="7"/>
      <c r="T145" s="7"/>
      <c r="U145" s="7"/>
    </row>
    <row r="146" spans="1:21" x14ac:dyDescent="0.2">
      <c r="A146" s="18" t="s">
        <v>1245</v>
      </c>
    </row>
    <row r="147" spans="1:21" x14ac:dyDescent="0.2">
      <c r="A147" s="1" t="s">
        <v>634</v>
      </c>
      <c r="D147" s="14">
        <f t="shared" ref="D147:U147" si="98">D$393</f>
        <v>0.60399999999999998</v>
      </c>
      <c r="E147" s="14">
        <f t="shared" si="98"/>
        <v>0.60299999999999998</v>
      </c>
      <c r="F147" s="14">
        <f t="shared" si="98"/>
        <v>0.60199999999999998</v>
      </c>
      <c r="G147" s="15">
        <f t="shared" si="98"/>
        <v>0.59</v>
      </c>
      <c r="H147" s="15">
        <f t="shared" si="98"/>
        <v>0.58399999999999996</v>
      </c>
      <c r="I147" s="15">
        <f t="shared" si="98"/>
        <v>0.57399999999999995</v>
      </c>
      <c r="J147" s="15">
        <f t="shared" si="98"/>
        <v>0.55800000000000005</v>
      </c>
      <c r="K147" s="15">
        <f t="shared" si="98"/>
        <v>0.53700000000000003</v>
      </c>
      <c r="L147" s="6">
        <f t="shared" si="98"/>
        <v>0.52300000000000002</v>
      </c>
      <c r="M147" s="6">
        <f t="shared" si="98"/>
        <v>0.54300000000000004</v>
      </c>
      <c r="N147" s="6">
        <f t="shared" si="98"/>
        <v>0.55400000000000005</v>
      </c>
      <c r="O147" s="6">
        <f t="shared" si="98"/>
        <v>0.56399999999999995</v>
      </c>
      <c r="P147" s="6">
        <f t="shared" si="98"/>
        <v>0.57099999999999995</v>
      </c>
      <c r="Q147" s="6">
        <f t="shared" si="98"/>
        <v>0.57699999999999996</v>
      </c>
      <c r="R147" s="6">
        <f t="shared" si="98"/>
        <v>0.58499999999999996</v>
      </c>
      <c r="S147" s="6">
        <f t="shared" si="98"/>
        <v>0.59399999999999997</v>
      </c>
      <c r="T147" s="6">
        <f t="shared" si="98"/>
        <v>0.60499999999999998</v>
      </c>
      <c r="U147" s="6">
        <f t="shared" si="98"/>
        <v>0.61499999999999999</v>
      </c>
    </row>
    <row r="148" spans="1:21" x14ac:dyDescent="0.2">
      <c r="A148" s="1" t="s">
        <v>1269</v>
      </c>
      <c r="D148" s="14">
        <f ca="1">OFFSET(Assumptions!$B$78,0,$C$1)*D$366</f>
        <v>0.27360000000000001</v>
      </c>
      <c r="E148" s="14">
        <f ca="1">OFFSET(Assumptions!$B$78,0,$C$1)*E$366</f>
        <v>0.27072000000000002</v>
      </c>
      <c r="F148" s="14">
        <f ca="1">OFFSET(Assumptions!$B$78,0,$C$1)*F$366</f>
        <v>0.29987999999999998</v>
      </c>
      <c r="G148" s="15">
        <f ca="1">OFFSET(Assumptions!$B$78,0,$C$1)*G$366</f>
        <v>0.28944000000000003</v>
      </c>
      <c r="H148" s="15">
        <f ca="1">OFFSET(Assumptions!$B$78,0,$C$1)*H$366</f>
        <v>0.33732000000000001</v>
      </c>
      <c r="I148" s="15">
        <f ca="1">OFFSET(Assumptions!$B$78,0,$C$1)*I$366</f>
        <v>0.36683999999999994</v>
      </c>
      <c r="J148" s="15">
        <f ca="1">OFFSET(Assumptions!$B$78,0,$C$1)*J$366</f>
        <v>0.40211999999999998</v>
      </c>
      <c r="K148" s="15">
        <f ca="1">OFFSET(Assumptions!$B$78,0,$C$1)*K$366</f>
        <v>0.44495999999999997</v>
      </c>
      <c r="L148" s="6">
        <f ca="1">OFFSET(Assumptions!$B$78,0,$C$1)*L$366</f>
        <v>0.41487954097496382</v>
      </c>
      <c r="M148" s="6">
        <f ca="1">OFFSET(Assumptions!$B$78,0,$C$1)*M$366</f>
        <v>0.46819617585470075</v>
      </c>
      <c r="N148" s="6">
        <f ca="1">OFFSET(Assumptions!$B$78,0,$C$1)*N$366</f>
        <v>0.52579498926774459</v>
      </c>
      <c r="O148" s="6">
        <f ca="1">OFFSET(Assumptions!$B$78,0,$C$1)*O$366</f>
        <v>0.58762780371406398</v>
      </c>
      <c r="P148" s="6">
        <f ca="1">OFFSET(Assumptions!$B$78,0,$C$1)*P$366</f>
        <v>0.65372215807486111</v>
      </c>
      <c r="Q148" s="6">
        <f ca="1">OFFSET(Assumptions!$B$78,0,$C$1)*Q$366</f>
        <v>0.70684334167607843</v>
      </c>
      <c r="R148" s="6">
        <f ca="1">OFFSET(Assumptions!$B$78,0,$C$1)*R$366</f>
        <v>0.76011639335490055</v>
      </c>
      <c r="S148" s="6">
        <f ca="1">OFFSET(Assumptions!$B$78,0,$C$1)*S$366</f>
        <v>0.81457301664657</v>
      </c>
      <c r="T148" s="6">
        <f ca="1">OFFSET(Assumptions!$B$78,0,$C$1)*T$366</f>
        <v>0.87047315150698978</v>
      </c>
      <c r="U148" s="6">
        <f ca="1">OFFSET(Assumptions!$B$78,0,$C$1)*U$366</f>
        <v>0.92789705820470847</v>
      </c>
    </row>
    <row r="149" spans="1:21" x14ac:dyDescent="0.2">
      <c r="A149" s="1" t="s">
        <v>1270</v>
      </c>
      <c r="B149" s="4" t="str">
        <f>$B$37</f>
        <v>From Fiscal</v>
      </c>
      <c r="D149" s="14">
        <f ca="1">'Fiscal Forecasts'!D$152-SUM(D$147:D$148)</f>
        <v>0.26340000000000008</v>
      </c>
      <c r="E149" s="14">
        <f ca="1">'Fiscal Forecasts'!E$152-SUM(E$147:E$148)</f>
        <v>0.22628000000000004</v>
      </c>
      <c r="F149" s="14">
        <f ca="1">'Fiscal Forecasts'!F$152-SUM(F$147:F$148)</f>
        <v>0.21711999999999998</v>
      </c>
      <c r="G149" s="15">
        <f ca="1">'Fiscal Forecasts'!G$152-SUM(G$147:G$148)</f>
        <v>0.26356000000000002</v>
      </c>
      <c r="H149" s="15">
        <f ca="1">'Fiscal Forecasts'!H$152-SUM(H$147:H$148)</f>
        <v>0.40568000000000004</v>
      </c>
      <c r="I149" s="15">
        <f ca="1">'Fiscal Forecasts'!I$152-SUM(I$147:I$148)</f>
        <v>0.35216000000000003</v>
      </c>
      <c r="J149" s="15">
        <f ca="1">'Fiscal Forecasts'!J$152-SUM(J$147:J$148)</f>
        <v>0.46287999999999996</v>
      </c>
      <c r="K149" s="15">
        <f ca="1">'Fiscal Forecasts'!K$152-SUM(K$147:K$148)</f>
        <v>0.35804000000000014</v>
      </c>
      <c r="L149" s="6">
        <f ca="1">OFFSET(Assumptions!$B$45,0,$C$1)*AVERAGE(SUM(K$336,K$382),SUM(L$336,L$382))*L$225</f>
        <v>0.20239072658982904</v>
      </c>
      <c r="M149" s="6">
        <f ca="1">OFFSET(Assumptions!$B$45,0,$C$1)*AVERAGE(SUM(L$336,L$382),SUM(M$336,M$382))*M$225</f>
        <v>0.23804245096962423</v>
      </c>
      <c r="N149" s="6">
        <f ca="1">OFFSET(Assumptions!$B$45,0,$C$1)*AVERAGE(SUM(M$336,M$382),SUM(N$336,N$382))*N$225</f>
        <v>0.27501067584392019</v>
      </c>
      <c r="O149" s="6">
        <f ca="1">OFFSET(Assumptions!$B$45,0,$C$1)*AVERAGE(SUM(N$336,N$382),SUM(O$336,O$382))*O$225</f>
        <v>0.31271118817054772</v>
      </c>
      <c r="P149" s="6">
        <f ca="1">OFFSET(Assumptions!$B$45,0,$C$1)*AVERAGE(SUM(O$336,O$382),SUM(P$336,P$382))*P$225</f>
        <v>0.35051180284563116</v>
      </c>
      <c r="Q149" s="6">
        <f ca="1">OFFSET(Assumptions!$B$45,0,$C$1)*AVERAGE(SUM(P$336,P$382),SUM(Q$336,Q$382))*Q$225</f>
        <v>0.38767598597023678</v>
      </c>
      <c r="R149" s="6">
        <f ca="1">OFFSET(Assumptions!$B$45,0,$C$1)*AVERAGE(SUM(Q$336,Q$382),SUM(R$336,R$382))*R$225</f>
        <v>0.42539488405091774</v>
      </c>
      <c r="S149" s="6">
        <f ca="1">OFFSET(Assumptions!$B$45,0,$C$1)*AVERAGE(SUM(R$336,R$382),SUM(S$336,S$382))*S$225</f>
        <v>0.44339516041098359</v>
      </c>
      <c r="T149" s="6">
        <f ca="1">OFFSET(Assumptions!$B$45,0,$C$1)*AVERAGE(SUM(S$336,S$382),SUM(T$336,T$382))*T$225</f>
        <v>0.46199824669044753</v>
      </c>
      <c r="U149" s="6">
        <f ca="1">OFFSET(Assumptions!$B$45,0,$C$1)*AVERAGE(SUM(T$336,T$382),SUM(U$336,U$382))*U$225</f>
        <v>0.48124104794449724</v>
      </c>
    </row>
    <row r="150" spans="1:21" ht="15" x14ac:dyDescent="0.25">
      <c r="A150" s="2" t="s">
        <v>1271</v>
      </c>
      <c r="D150" s="34">
        <f t="shared" ref="D150:U150" ca="1" si="99">SUM(D$147:D$149)</f>
        <v>1.141</v>
      </c>
      <c r="E150" s="34">
        <f t="shared" ca="1" si="99"/>
        <v>1.1000000000000001</v>
      </c>
      <c r="F150" s="34">
        <f t="shared" ca="1" si="99"/>
        <v>1.119</v>
      </c>
      <c r="G150" s="33">
        <f t="shared" ca="1" si="99"/>
        <v>1.143</v>
      </c>
      <c r="H150" s="33">
        <f t="shared" ca="1" si="99"/>
        <v>1.327</v>
      </c>
      <c r="I150" s="33">
        <f t="shared" ca="1" si="99"/>
        <v>1.2929999999999999</v>
      </c>
      <c r="J150" s="33">
        <f t="shared" ca="1" si="99"/>
        <v>1.423</v>
      </c>
      <c r="K150" s="33">
        <f t="shared" ca="1" si="99"/>
        <v>1.34</v>
      </c>
      <c r="L150" s="37">
        <f t="shared" ca="1" si="99"/>
        <v>1.1402702675647929</v>
      </c>
      <c r="M150" s="37">
        <f t="shared" ca="1" si="99"/>
        <v>1.249238626824325</v>
      </c>
      <c r="N150" s="37">
        <f t="shared" ca="1" si="99"/>
        <v>1.3548056651116649</v>
      </c>
      <c r="O150" s="37">
        <f t="shared" ca="1" si="99"/>
        <v>1.4643389918846117</v>
      </c>
      <c r="P150" s="37">
        <f t="shared" ca="1" si="99"/>
        <v>1.5752339609204922</v>
      </c>
      <c r="Q150" s="37">
        <f t="shared" ca="1" si="99"/>
        <v>1.6715193276463152</v>
      </c>
      <c r="R150" s="37">
        <f t="shared" ca="1" si="99"/>
        <v>1.7705112774058183</v>
      </c>
      <c r="S150" s="37">
        <f t="shared" ca="1" si="99"/>
        <v>1.8519681770575536</v>
      </c>
      <c r="T150" s="37">
        <f t="shared" ca="1" si="99"/>
        <v>1.9374713981974372</v>
      </c>
      <c r="U150" s="37">
        <f t="shared" ca="1" si="99"/>
        <v>2.0241381061492056</v>
      </c>
    </row>
    <row r="151" spans="1:21" x14ac:dyDescent="0.2">
      <c r="A151" s="1" t="s">
        <v>272</v>
      </c>
      <c r="B151" s="4" t="str">
        <f>$B$37</f>
        <v>From Fiscal</v>
      </c>
      <c r="D151" s="14">
        <f>'Fiscal Forecasts'!D$217</f>
        <v>1.109</v>
      </c>
      <c r="E151" s="14">
        <f>'Fiscal Forecasts'!E$217</f>
        <v>1.091</v>
      </c>
      <c r="F151" s="14">
        <f>'Fiscal Forecasts'!F$217</f>
        <v>0.998</v>
      </c>
      <c r="G151" s="15">
        <f>'Fiscal Forecasts'!G$217</f>
        <v>1.0369999999999999</v>
      </c>
      <c r="H151" s="15">
        <f>'Fiscal Forecasts'!H$217</f>
        <v>1.0589999999999999</v>
      </c>
      <c r="I151" s="15">
        <f>'Fiscal Forecasts'!I$217</f>
        <v>1.079</v>
      </c>
      <c r="J151" s="15">
        <f>'Fiscal Forecasts'!J$217</f>
        <v>1.083</v>
      </c>
      <c r="K151" s="15">
        <f>'Fiscal Forecasts'!K$217</f>
        <v>1.0820000000000001</v>
      </c>
      <c r="L151" s="6">
        <f>K$151*Exogenous!S$27/Exogenous!R$27</f>
        <v>1.16146350076944</v>
      </c>
      <c r="M151" s="6">
        <f>L$151*Exogenous!T$27/Exogenous!S$27</f>
        <v>1.2470993997238937</v>
      </c>
      <c r="N151" s="6">
        <f>M$151*Exogenous!U$27/Exogenous!T$27</f>
        <v>1.3384948604970319</v>
      </c>
      <c r="O151" s="6">
        <f>N$151*Exogenous!V$27/Exogenous!U$27</f>
        <v>1.428693132681824</v>
      </c>
      <c r="P151" s="6">
        <f>O$151*Exogenous!W$27/Exogenous!V$27</f>
        <v>1.5146952547737367</v>
      </c>
      <c r="Q151" s="6">
        <f>P$151*Exogenous!X$27/Exogenous!W$27</f>
        <v>1.6227362541261259</v>
      </c>
      <c r="R151" s="6">
        <f>Q$151*Exogenous!Y$27/Exogenous!X$27</f>
        <v>1.7059762311619393</v>
      </c>
      <c r="S151" s="6">
        <f>R$151*Exogenous!Z$27/Exogenous!Y$27</f>
        <v>1.7855937332548439</v>
      </c>
      <c r="T151" s="6">
        <f>S$151*Exogenous!AA$27/Exogenous!Z$27</f>
        <v>1.8695529497896994</v>
      </c>
      <c r="U151" s="6">
        <f>T$151*Exogenous!AB$27/Exogenous!AA$27</f>
        <v>1.9586832230558484</v>
      </c>
    </row>
    <row r="152" spans="1:21" x14ac:dyDescent="0.2">
      <c r="A152" s="1" t="s">
        <v>483</v>
      </c>
      <c r="B152" s="4" t="str">
        <f>$B$37</f>
        <v>From Fiscal</v>
      </c>
      <c r="D152" s="14">
        <f>'Fiscal Forecasts'!D$218</f>
        <v>1.0429999999999999</v>
      </c>
      <c r="E152" s="14">
        <f>'Fiscal Forecasts'!E$218</f>
        <v>0.997</v>
      </c>
      <c r="F152" s="14">
        <f>'Fiscal Forecasts'!F$218</f>
        <v>0.91800000000000004</v>
      </c>
      <c r="G152" s="15">
        <f>'Fiscal Forecasts'!G$218</f>
        <v>0.95699999999999996</v>
      </c>
      <c r="H152" s="15">
        <f>'Fiscal Forecasts'!H$218</f>
        <v>1.008</v>
      </c>
      <c r="I152" s="15">
        <f>'Fiscal Forecasts'!I$218</f>
        <v>1.071</v>
      </c>
      <c r="J152" s="15">
        <f>'Fiscal Forecasts'!J$218</f>
        <v>1.125</v>
      </c>
      <c r="K152" s="15">
        <f>'Fiscal Forecasts'!K$218</f>
        <v>1.159</v>
      </c>
      <c r="L152" s="6">
        <f ca="1">K$152*L$384/K$384</f>
        <v>1.2062098986293488</v>
      </c>
      <c r="M152" s="6">
        <f t="shared" ref="M152:U152" ca="1" si="100">L$152*M$384/L$384</f>
        <v>1.2612081650606526</v>
      </c>
      <c r="N152" s="6">
        <f t="shared" ca="1" si="100"/>
        <v>1.3174054686110768</v>
      </c>
      <c r="O152" s="6">
        <f t="shared" ca="1" si="100"/>
        <v>1.3750417563416664</v>
      </c>
      <c r="P152" s="6">
        <f t="shared" ca="1" si="100"/>
        <v>1.4346352579351798</v>
      </c>
      <c r="Q152" s="6">
        <f t="shared" ca="1" si="100"/>
        <v>1.4962809076726979</v>
      </c>
      <c r="R152" s="6">
        <f t="shared" ca="1" si="100"/>
        <v>1.5598726339185123</v>
      </c>
      <c r="S152" s="6">
        <f t="shared" ca="1" si="100"/>
        <v>1.6255998308895803</v>
      </c>
      <c r="T152" s="6">
        <f t="shared" ca="1" si="100"/>
        <v>1.6935223089595155</v>
      </c>
      <c r="U152" s="6">
        <f t="shared" ca="1" si="100"/>
        <v>1.7638453937949883</v>
      </c>
    </row>
    <row r="153" spans="1:21" x14ac:dyDescent="0.2">
      <c r="A153" s="1" t="s">
        <v>484</v>
      </c>
      <c r="B153" s="4" t="str">
        <f>$B$37</f>
        <v>From Fiscal</v>
      </c>
      <c r="D153" s="14">
        <f>'Fiscal Forecasts'!D$219</f>
        <v>-0.49099999999999999</v>
      </c>
      <c r="E153" s="14">
        <f>'Fiscal Forecasts'!E$219</f>
        <v>-0.4</v>
      </c>
      <c r="F153" s="14">
        <f>'Fiscal Forecasts'!F$219</f>
        <v>-0.308</v>
      </c>
      <c r="G153" s="15">
        <f>'Fiscal Forecasts'!G$219</f>
        <v>-0.39700000000000002</v>
      </c>
      <c r="H153" s="15">
        <f>'Fiscal Forecasts'!H$219</f>
        <v>-0.42799999999999999</v>
      </c>
      <c r="I153" s="15">
        <f>'Fiscal Forecasts'!I$219</f>
        <v>-0.433</v>
      </c>
      <c r="J153" s="15">
        <f>'Fiscal Forecasts'!J$219</f>
        <v>-0.43099999999999999</v>
      </c>
      <c r="K153" s="15">
        <f>'Fiscal Forecasts'!K$219</f>
        <v>-0.42899999999999999</v>
      </c>
      <c r="L153" s="6">
        <f ca="1">IF(L$6=OFFSET(Assumptions!$B$8,0,$C$1),AVERAGE(I$153/SUM(I$151:I$152),J$153/SUM(J$151:J$152),K$153/SUM(K$151:K$152)),K$153/SUM(K$151:K$152))*SUM(L$151:L$152)</f>
        <v>-0.4640853114833457</v>
      </c>
      <c r="M153" s="6">
        <f ca="1">IF(M$6=OFFSET(Assumptions!$B$8,0,$C$1),AVERAGE(J$153/SUM(J$151:J$152),K$153/SUM(K$151:K$152),L$153/SUM(L$151:L$152)),L$153/SUM(L$151:L$152))*SUM(M$151:M$152)</f>
        <v>-0.49165087456515527</v>
      </c>
      <c r="N153" s="6">
        <f ca="1">IF(N$6=OFFSET(Assumptions!$B$8,0,$C$1),AVERAGE(K$153/SUM(K$151:K$152),L$153/SUM(L$151:L$152),M$153/SUM(M$151:M$152)),M$153/SUM(M$151:M$152))*SUM(N$151:N$152)</f>
        <v>-0.52058038571360221</v>
      </c>
      <c r="O153" s="6">
        <f ca="1">IF(O$6=OFFSET(Assumptions!$B$8,0,$C$1),AVERAGE(L$153/SUM(L$151:L$152),M$153/SUM(M$151:M$152),N$153/SUM(N$151:N$152)),N$153/SUM(N$151:N$152))*SUM(O$151:O$152)</f>
        <v>-0.54955729097585437</v>
      </c>
      <c r="P153" s="6">
        <f ca="1">IF(P$6=OFFSET(Assumptions!$B$8,0,$C$1),AVERAGE(M$153/SUM(M$151:M$152),N$153/SUM(N$151:N$152),O$153/SUM(O$151:O$152)),O$153/SUM(O$151:O$152))*SUM(P$151:P$152)</f>
        <v>-0.57809534457134626</v>
      </c>
      <c r="Q153" s="6">
        <f ca="1">IF(Q$6=OFFSET(Assumptions!$B$8,0,$C$1),AVERAGE(N$153/SUM(N$151:N$152),O$153/SUM(O$151:O$152),P$153/SUM(P$151:P$152)),P$153/SUM(P$151:P$152))*SUM(Q$151:Q$152)</f>
        <v>-0.61135545612957509</v>
      </c>
      <c r="R153" s="6">
        <f ca="1">IF(R$6=OFFSET(Assumptions!$B$8,0,$C$1),AVERAGE(O$153/SUM(O$151:O$152),P$153/SUM(P$151:P$152),Q$153/SUM(Q$151:Q$152)),Q$153/SUM(Q$151:Q$152))*SUM(R$151:R$152)</f>
        <v>-0.64013579245906538</v>
      </c>
      <c r="S153" s="6">
        <f ca="1">IF(S$6=OFFSET(Assumptions!$B$8,0,$C$1),AVERAGE(P$153/SUM(P$151:P$152),Q$153/SUM(Q$151:Q$152),R$153/SUM(R$151:R$152)),R$153/SUM(R$151:R$152))*SUM(S$151:S$152)</f>
        <v>-0.66862466256872022</v>
      </c>
      <c r="T153" s="6">
        <f ca="1">IF(T$6=OFFSET(Assumptions!$B$8,0,$C$1),AVERAGE(Q$153/SUM(Q$151:Q$152),R$153/SUM(R$151:R$152),S$153/SUM(S$151:S$152)),S$153/SUM(S$151:S$152))*SUM(T$151:T$152)</f>
        <v>-0.69839484268189833</v>
      </c>
      <c r="U153" s="6">
        <f ca="1">IF(U$6=OFFSET(Assumptions!$B$8,0,$C$1),AVERAGE(R$153/SUM(R$151:R$152),S$153/SUM(S$151:S$152),T$153/SUM(T$151:T$152)),T$153/SUM(T$151:T$152))*SUM(U$151:U$152)</f>
        <v>-0.72964913703704337</v>
      </c>
    </row>
    <row r="154" spans="1:21" ht="15" x14ac:dyDescent="0.25">
      <c r="A154" s="2" t="s">
        <v>1272</v>
      </c>
      <c r="D154" s="34">
        <f t="shared" ref="D154:U154" ca="1" si="101">SUM(D$150:D$153)</f>
        <v>2.802</v>
      </c>
      <c r="E154" s="34">
        <f t="shared" ca="1" si="101"/>
        <v>2.7879999999999998</v>
      </c>
      <c r="F154" s="34">
        <f t="shared" ca="1" si="101"/>
        <v>2.7270000000000003</v>
      </c>
      <c r="G154" s="33">
        <f t="shared" ca="1" si="101"/>
        <v>2.7399999999999993</v>
      </c>
      <c r="H154" s="33">
        <f t="shared" ca="1" si="101"/>
        <v>2.9660000000000002</v>
      </c>
      <c r="I154" s="33">
        <f t="shared" ca="1" si="101"/>
        <v>3.01</v>
      </c>
      <c r="J154" s="33">
        <f t="shared" ca="1" si="101"/>
        <v>3.2</v>
      </c>
      <c r="K154" s="33">
        <f t="shared" ca="1" si="101"/>
        <v>3.1520000000000006</v>
      </c>
      <c r="L154" s="37">
        <f t="shared" ca="1" si="101"/>
        <v>3.0438583554802365</v>
      </c>
      <c r="M154" s="37">
        <f t="shared" ca="1" si="101"/>
        <v>3.2658953170437157</v>
      </c>
      <c r="N154" s="37">
        <f t="shared" ca="1" si="101"/>
        <v>3.4901256085061716</v>
      </c>
      <c r="O154" s="37">
        <f t="shared" ca="1" si="101"/>
        <v>3.7185165899322481</v>
      </c>
      <c r="P154" s="37">
        <f t="shared" ca="1" si="101"/>
        <v>3.946469129058062</v>
      </c>
      <c r="Q154" s="37">
        <f t="shared" ca="1" si="101"/>
        <v>4.1791810333155635</v>
      </c>
      <c r="R154" s="37">
        <f t="shared" ca="1" si="101"/>
        <v>4.3962243500272047</v>
      </c>
      <c r="S154" s="37">
        <f t="shared" ca="1" si="101"/>
        <v>4.594537078633258</v>
      </c>
      <c r="T154" s="37">
        <f t="shared" ca="1" si="101"/>
        <v>4.8021518142647537</v>
      </c>
      <c r="U154" s="37">
        <f t="shared" ca="1" si="101"/>
        <v>5.0170175859629991</v>
      </c>
    </row>
    <row r="155" spans="1:21" ht="15" x14ac:dyDescent="0.25">
      <c r="A155" s="2"/>
      <c r="D155" s="46"/>
      <c r="E155" s="46"/>
      <c r="F155" s="46"/>
      <c r="G155" s="47"/>
      <c r="H155" s="47"/>
      <c r="I155" s="47"/>
      <c r="J155" s="47"/>
      <c r="K155" s="47"/>
      <c r="L155" s="48"/>
      <c r="M155" s="48"/>
      <c r="N155" s="48"/>
      <c r="O155" s="48"/>
      <c r="P155" s="48"/>
      <c r="Q155" s="48"/>
      <c r="R155" s="48"/>
      <c r="S155" s="48"/>
      <c r="T155" s="48"/>
      <c r="U155" s="48"/>
    </row>
    <row r="156" spans="1:21" ht="15" x14ac:dyDescent="0.25">
      <c r="A156" s="18" t="s">
        <v>1268</v>
      </c>
      <c r="D156" s="46"/>
      <c r="E156" s="46"/>
      <c r="F156" s="46"/>
      <c r="G156" s="47"/>
      <c r="H156" s="47"/>
      <c r="I156" s="47"/>
      <c r="J156" s="47"/>
      <c r="K156" s="47"/>
      <c r="L156" s="48"/>
      <c r="M156" s="48"/>
      <c r="N156" s="48"/>
      <c r="O156" s="48"/>
      <c r="P156" s="48"/>
      <c r="Q156" s="48"/>
      <c r="R156" s="48"/>
      <c r="S156" s="48"/>
      <c r="T156" s="48"/>
      <c r="U156" s="48"/>
    </row>
    <row r="157" spans="1:21" x14ac:dyDescent="0.2">
      <c r="A157" s="1" t="s">
        <v>1273</v>
      </c>
      <c r="D157" s="14">
        <f ca="1">OFFSET(Assumptions!$B$79,0,$C$1)*D$366</f>
        <v>0.41040000000000004</v>
      </c>
      <c r="E157" s="14">
        <f ca="1">OFFSET(Assumptions!$B$79,0,$C$1)*E$366</f>
        <v>0.40608000000000005</v>
      </c>
      <c r="F157" s="14">
        <f ca="1">OFFSET(Assumptions!$B$79,0,$C$1)*F$366</f>
        <v>0.44982</v>
      </c>
      <c r="G157" s="15">
        <f ca="1">OFFSET(Assumptions!$B$79,0,$C$1)*G$366</f>
        <v>0.43416000000000005</v>
      </c>
      <c r="H157" s="15">
        <f ca="1">OFFSET(Assumptions!$B$79,0,$C$1)*H$366</f>
        <v>0.5059800000000001</v>
      </c>
      <c r="I157" s="15">
        <f ca="1">OFFSET(Assumptions!$B$79,0,$C$1)*I$366</f>
        <v>0.55025999999999997</v>
      </c>
      <c r="J157" s="15">
        <f ca="1">OFFSET(Assumptions!$B$79,0,$C$1)*J$366</f>
        <v>0.60318000000000005</v>
      </c>
      <c r="K157" s="15">
        <f ca="1">OFFSET(Assumptions!$B$79,0,$C$1)*K$366</f>
        <v>0.66744000000000003</v>
      </c>
      <c r="L157" s="6">
        <f ca="1">OFFSET(Assumptions!$B$79,0,$C$1)*L$366</f>
        <v>0.62231931146244579</v>
      </c>
      <c r="M157" s="6">
        <f ca="1">OFFSET(Assumptions!$B$79,0,$C$1)*M$366</f>
        <v>0.70229426378205118</v>
      </c>
      <c r="N157" s="6">
        <f ca="1">OFFSET(Assumptions!$B$79,0,$C$1)*N$366</f>
        <v>0.78869248390161695</v>
      </c>
      <c r="O157" s="6">
        <f ca="1">OFFSET(Assumptions!$B$79,0,$C$1)*O$366</f>
        <v>0.88144170557109602</v>
      </c>
      <c r="P157" s="6">
        <f ca="1">OFFSET(Assumptions!$B$79,0,$C$1)*P$366</f>
        <v>0.98058323711229178</v>
      </c>
      <c r="Q157" s="6">
        <f ca="1">OFFSET(Assumptions!$B$79,0,$C$1)*Q$366</f>
        <v>1.0602650125141178</v>
      </c>
      <c r="R157" s="6">
        <f ca="1">OFFSET(Assumptions!$B$79,0,$C$1)*R$366</f>
        <v>1.140174590032351</v>
      </c>
      <c r="S157" s="6">
        <f ca="1">OFFSET(Assumptions!$B$79,0,$C$1)*S$366</f>
        <v>1.2218595249698552</v>
      </c>
      <c r="T157" s="6">
        <f ca="1">OFFSET(Assumptions!$B$79,0,$C$1)*T$366</f>
        <v>1.3057097272604847</v>
      </c>
      <c r="U157" s="6">
        <f ca="1">OFFSET(Assumptions!$B$79,0,$C$1)*U$366</f>
        <v>1.3918455873070628</v>
      </c>
    </row>
    <row r="158" spans="1:21" x14ac:dyDescent="0.2">
      <c r="A158" s="1" t="s">
        <v>1274</v>
      </c>
      <c r="B158" s="4" t="str">
        <f>$B$37</f>
        <v>From Fiscal</v>
      </c>
      <c r="D158" s="14">
        <f ca="1">'Fiscal Forecasts'!D$222-D$157</f>
        <v>0.89959999999999996</v>
      </c>
      <c r="E158" s="14">
        <f ca="1">'Fiscal Forecasts'!E$222-E$157</f>
        <v>0.88192000000000004</v>
      </c>
      <c r="F158" s="14">
        <f ca="1">'Fiscal Forecasts'!F$222-F$157</f>
        <v>1.0691799999999998</v>
      </c>
      <c r="G158" s="15">
        <f ca="1">'Fiscal Forecasts'!G$222-G$157</f>
        <v>0.86683999999999983</v>
      </c>
      <c r="H158" s="15">
        <f ca="1">'Fiscal Forecasts'!H$222-H$157</f>
        <v>0.84501999999999988</v>
      </c>
      <c r="I158" s="15">
        <f ca="1">'Fiscal Forecasts'!I$222-I$157</f>
        <v>0.91974</v>
      </c>
      <c r="J158" s="15">
        <f ca="1">'Fiscal Forecasts'!J$222-J$157</f>
        <v>0.95581999999999989</v>
      </c>
      <c r="K158" s="15">
        <f ca="1">'Fiscal Forecasts'!K$222-K$157</f>
        <v>0.97755999999999998</v>
      </c>
      <c r="L158" s="6">
        <f ca="1">AVERAGE(SUM(K$336,K$349,K$358,K$382),SUM(L$336,L$349,L$358,L$382))*L$225-L$149</f>
        <v>0.9946544743718766</v>
      </c>
      <c r="M158" s="6">
        <f t="shared" ref="M158:U158" ca="1" si="102">AVERAGE(SUM(L$336,L$349,L$358,L$382),SUM(M$336,M$349,M$358,M$382))*M$225-M$149</f>
        <v>1.0812945496691579</v>
      </c>
      <c r="N158" s="6">
        <f t="shared" ca="1" si="102"/>
        <v>1.1761446640079936</v>
      </c>
      <c r="O158" s="6">
        <f t="shared" ca="1" si="102"/>
        <v>1.281615165071758</v>
      </c>
      <c r="P158" s="6">
        <f t="shared" ca="1" si="102"/>
        <v>1.4005926847340309</v>
      </c>
      <c r="Q158" s="6">
        <f t="shared" ca="1" si="102"/>
        <v>1.5362823030046882</v>
      </c>
      <c r="R158" s="6">
        <f t="shared" ca="1" si="102"/>
        <v>1.6857547431538094</v>
      </c>
      <c r="S158" s="6">
        <f t="shared" ca="1" si="102"/>
        <v>1.7570862339397399</v>
      </c>
      <c r="T158" s="6">
        <f t="shared" ca="1" si="102"/>
        <v>1.8308065397277908</v>
      </c>
      <c r="U158" s="6">
        <f t="shared" ca="1" si="102"/>
        <v>1.9070619078616902</v>
      </c>
    </row>
    <row r="159" spans="1:21" ht="15" x14ac:dyDescent="0.25">
      <c r="A159" s="2" t="s">
        <v>1275</v>
      </c>
      <c r="D159" s="34">
        <f ca="1">SUM(D$157:D$158)</f>
        <v>1.31</v>
      </c>
      <c r="E159" s="34">
        <f t="shared" ref="E159:U159" ca="1" si="103">SUM(E$157:E$158)</f>
        <v>1.288</v>
      </c>
      <c r="F159" s="34">
        <f t="shared" ca="1" si="103"/>
        <v>1.5189999999999997</v>
      </c>
      <c r="G159" s="33">
        <f t="shared" ca="1" si="103"/>
        <v>1.3009999999999999</v>
      </c>
      <c r="H159" s="33">
        <f t="shared" ca="1" si="103"/>
        <v>1.351</v>
      </c>
      <c r="I159" s="33">
        <f t="shared" ca="1" si="103"/>
        <v>1.47</v>
      </c>
      <c r="J159" s="33">
        <f t="shared" ca="1" si="103"/>
        <v>1.5589999999999999</v>
      </c>
      <c r="K159" s="33">
        <f t="shared" ca="1" si="103"/>
        <v>1.645</v>
      </c>
      <c r="L159" s="37">
        <f t="shared" ca="1" si="103"/>
        <v>1.6169737858343223</v>
      </c>
      <c r="M159" s="37">
        <f t="shared" ca="1" si="103"/>
        <v>1.783588813451209</v>
      </c>
      <c r="N159" s="37">
        <f t="shared" ca="1" si="103"/>
        <v>1.9648371479096105</v>
      </c>
      <c r="O159" s="37">
        <f t="shared" ca="1" si="103"/>
        <v>2.1630568706428539</v>
      </c>
      <c r="P159" s="37">
        <f t="shared" ca="1" si="103"/>
        <v>2.3811759218463227</v>
      </c>
      <c r="Q159" s="37">
        <f t="shared" ca="1" si="103"/>
        <v>2.5965473155188059</v>
      </c>
      <c r="R159" s="37">
        <f t="shared" ca="1" si="103"/>
        <v>2.8259293331861604</v>
      </c>
      <c r="S159" s="37">
        <f t="shared" ca="1" si="103"/>
        <v>2.9789457589095951</v>
      </c>
      <c r="T159" s="37">
        <f t="shared" ca="1" si="103"/>
        <v>3.1365162669882753</v>
      </c>
      <c r="U159" s="37">
        <f t="shared" ca="1" si="103"/>
        <v>3.2989074951687529</v>
      </c>
    </row>
    <row r="160" spans="1:21" x14ac:dyDescent="0.2">
      <c r="A160" s="1" t="s">
        <v>272</v>
      </c>
      <c r="B160" s="4" t="str">
        <f>$B$37</f>
        <v>From Fiscal</v>
      </c>
      <c r="D160" s="14">
        <f>'Fiscal Forecasts'!D$223</f>
        <v>0.32</v>
      </c>
      <c r="E160" s="14">
        <f>'Fiscal Forecasts'!E$223</f>
        <v>0.39300000000000002</v>
      </c>
      <c r="F160" s="14">
        <f>'Fiscal Forecasts'!F$223</f>
        <v>0.42</v>
      </c>
      <c r="G160" s="15">
        <f>'Fiscal Forecasts'!G$223</f>
        <v>0.35599999999999998</v>
      </c>
      <c r="H160" s="15">
        <f>'Fiscal Forecasts'!H$223</f>
        <v>0.40100000000000002</v>
      </c>
      <c r="I160" s="15">
        <f>'Fiscal Forecasts'!I$223</f>
        <v>0.40799999999999997</v>
      </c>
      <c r="J160" s="15">
        <f>'Fiscal Forecasts'!J$223</f>
        <v>0.40400000000000003</v>
      </c>
      <c r="K160" s="15">
        <f>'Fiscal Forecasts'!K$223</f>
        <v>0.39900000000000002</v>
      </c>
      <c r="L160" s="6">
        <f>K$160*Exogenous!S$27/Exogenous!R$27</f>
        <v>0.42830308392514466</v>
      </c>
      <c r="M160" s="6">
        <f>L$160*Exogenous!T$27/Exogenous!S$27</f>
        <v>0.45988231098875554</v>
      </c>
      <c r="N160" s="6">
        <f>M$160*Exogenous!U$27/Exogenous!T$27</f>
        <v>0.49358544301138235</v>
      </c>
      <c r="O160" s="6">
        <f>N$160*Exogenous!V$27/Exogenous!U$27</f>
        <v>0.52684709791131945</v>
      </c>
      <c r="P160" s="6">
        <f>O$160*Exogenous!W$27/Exogenous!V$27</f>
        <v>0.55856137398772721</v>
      </c>
      <c r="Q160" s="6">
        <f>P$160*Exogenous!X$27/Exogenous!W$27</f>
        <v>0.59840274066203702</v>
      </c>
      <c r="R160" s="6">
        <f>Q$160*Exogenous!Y$27/Exogenous!X$27</f>
        <v>0.62909844383882951</v>
      </c>
      <c r="S160" s="6">
        <f>R$160*Exogenous!Z$27/Exogenous!Y$27</f>
        <v>0.65845831753112982</v>
      </c>
      <c r="T160" s="6">
        <f>S$160*Exogenous!AA$27/Exogenous!Z$27</f>
        <v>0.68941924858233794</v>
      </c>
      <c r="U160" s="6">
        <f>T$160*Exogenous!AB$27/Exogenous!AA$27</f>
        <v>0.72228706654277552</v>
      </c>
    </row>
    <row r="161" spans="1:21" x14ac:dyDescent="0.2">
      <c r="A161" s="1" t="s">
        <v>1276</v>
      </c>
      <c r="B161" s="4" t="str">
        <f>$B$37</f>
        <v>From Fiscal</v>
      </c>
      <c r="D161" s="14">
        <f>'Fiscal Forecasts'!D$224</f>
        <v>-0.90800000000000003</v>
      </c>
      <c r="E161" s="14">
        <f>'Fiscal Forecasts'!E$224</f>
        <v>-0.86599999999999999</v>
      </c>
      <c r="F161" s="14">
        <f>'Fiscal Forecasts'!F$224</f>
        <v>-1.0680000000000001</v>
      </c>
      <c r="G161" s="15">
        <f>'Fiscal Forecasts'!G$224</f>
        <v>-0.82399999999999995</v>
      </c>
      <c r="H161" s="15">
        <f>'Fiscal Forecasts'!H$224</f>
        <v>-0.80100000000000005</v>
      </c>
      <c r="I161" s="15">
        <f>'Fiscal Forecasts'!I$224</f>
        <v>-0.85799999999999998</v>
      </c>
      <c r="J161" s="15">
        <f>'Fiscal Forecasts'!J$224</f>
        <v>-0.873</v>
      </c>
      <c r="K161" s="15">
        <f>'Fiscal Forecasts'!K$224</f>
        <v>-0.86699999999999999</v>
      </c>
      <c r="L161" s="6">
        <f ca="1">IF(L$6=OFFSET(Assumptions!$B$8,0,$C$1),AVERAGE(I$161/I$160,J$161/J$160,K$161/K$160),K$161/K$160)*L$160</f>
        <v>-0.91896204238037371</v>
      </c>
      <c r="M161" s="6">
        <f ca="1">IF(M$6=OFFSET(Assumptions!$B$8,0,$C$1),AVERAGE(J$161/J$160,K$161/K$160,L$161/L$160),L$161/L$160)*M$160</f>
        <v>-0.98671805929535195</v>
      </c>
      <c r="N161" s="6">
        <f ca="1">IF(N$6=OFFSET(Assumptions!$B$8,0,$C$1),AVERAGE(K$161/K$160,L$161/L$160,M$161/M$160),M$161/M$160)*N$160</f>
        <v>-1.0590311016257721</v>
      </c>
      <c r="O161" s="6">
        <f ca="1">IF(O$6=OFFSET(Assumptions!$B$8,0,$C$1),AVERAGE(L$161/L$160,M$161/M$160,N$161/N$160),N$161/N$160)*O$160</f>
        <v>-1.1303969158517082</v>
      </c>
      <c r="P161" s="6">
        <f ca="1">IF(P$6=OFFSET(Assumptions!$B$8,0,$C$1),AVERAGE(M$161/M$160,N$161/N$160,O$161/O$160),O$161/O$160)*P$160</f>
        <v>-1.1984426923348033</v>
      </c>
      <c r="Q161" s="6">
        <f ca="1">IF(Q$6=OFFSET(Assumptions!$B$8,0,$C$1),AVERAGE(N$161/N$160,O$161/O$160,P$161/P$160),P$161/P$160)*Q$160</f>
        <v>-1.2839258584953532</v>
      </c>
      <c r="R161" s="6">
        <f ca="1">IF(R$6=OFFSET(Assumptions!$B$8,0,$C$1),AVERAGE(O$161/O$160,P$161/P$160,Q$161/Q$160),Q$161/Q$160)*R$160</f>
        <v>-1.3497861969854139</v>
      </c>
      <c r="S161" s="6">
        <f ca="1">IF(S$6=OFFSET(Assumptions!$B$8,0,$C$1),AVERAGE(P$161/P$160,Q$161/Q$160,R$161/R$160),R$161/R$160)*S$160</f>
        <v>-1.4127803954979363</v>
      </c>
      <c r="T161" s="6">
        <f ca="1">IF(T$6=OFFSET(Assumptions!$B$8,0,$C$1),AVERAGE(Q$161/Q$160,R$161/R$160,S$161/S$160),S$161/S$160)*T$160</f>
        <v>-1.4792098037853367</v>
      </c>
      <c r="U161" s="6">
        <f ca="1">IF(U$6=OFFSET(Assumptions!$B$8,0,$C$1),AVERAGE(R$161/R$160,S$161/S$160,T$161/T$160),T$161/T$160)*U$160</f>
        <v>-1.5497306061216303</v>
      </c>
    </row>
    <row r="162" spans="1:21" ht="15" x14ac:dyDescent="0.25">
      <c r="A162" s="2" t="s">
        <v>1277</v>
      </c>
      <c r="D162" s="34">
        <f ca="1">SUM(D$159:D$161)</f>
        <v>0.72200000000000009</v>
      </c>
      <c r="E162" s="34">
        <f t="shared" ref="E162:U162" ca="1" si="104">SUM(E$159:E$161)</f>
        <v>0.81500000000000006</v>
      </c>
      <c r="F162" s="34">
        <f t="shared" ca="1" si="104"/>
        <v>0.87099999999999955</v>
      </c>
      <c r="G162" s="33">
        <f t="shared" ca="1" si="104"/>
        <v>0.83300000000000007</v>
      </c>
      <c r="H162" s="33">
        <f t="shared" ca="1" si="104"/>
        <v>0.95099999999999996</v>
      </c>
      <c r="I162" s="33">
        <f t="shared" ca="1" si="104"/>
        <v>1.02</v>
      </c>
      <c r="J162" s="33">
        <f t="shared" ca="1" si="104"/>
        <v>1.0900000000000001</v>
      </c>
      <c r="K162" s="33">
        <f t="shared" ca="1" si="104"/>
        <v>1.177</v>
      </c>
      <c r="L162" s="37">
        <f t="shared" ca="1" si="104"/>
        <v>1.1263148273790933</v>
      </c>
      <c r="M162" s="37">
        <f t="shared" ca="1" si="104"/>
        <v>1.2567530651446126</v>
      </c>
      <c r="N162" s="37">
        <f t="shared" ca="1" si="104"/>
        <v>1.3993914892952206</v>
      </c>
      <c r="O162" s="37">
        <f t="shared" ca="1" si="104"/>
        <v>1.5595070527024653</v>
      </c>
      <c r="P162" s="37">
        <f t="shared" ca="1" si="104"/>
        <v>1.7412946034992465</v>
      </c>
      <c r="Q162" s="37">
        <f t="shared" ca="1" si="104"/>
        <v>1.9110241976854898</v>
      </c>
      <c r="R162" s="37">
        <f t="shared" ca="1" si="104"/>
        <v>2.1052415800395758</v>
      </c>
      <c r="S162" s="37">
        <f t="shared" ca="1" si="104"/>
        <v>2.2246236809427886</v>
      </c>
      <c r="T162" s="37">
        <f t="shared" ca="1" si="104"/>
        <v>2.3467257117852762</v>
      </c>
      <c r="U162" s="37">
        <f t="shared" ca="1" si="104"/>
        <v>2.4714639555898978</v>
      </c>
    </row>
    <row r="163" spans="1:21" ht="15" x14ac:dyDescent="0.25">
      <c r="A163" s="2"/>
      <c r="D163" s="46"/>
      <c r="E163" s="46"/>
      <c r="F163" s="46"/>
      <c r="G163" s="47"/>
      <c r="H163" s="47"/>
      <c r="I163" s="47"/>
      <c r="J163" s="47"/>
      <c r="K163" s="47"/>
      <c r="L163" s="48"/>
      <c r="M163" s="48"/>
      <c r="N163" s="48"/>
      <c r="O163" s="48"/>
      <c r="P163" s="48"/>
      <c r="Q163" s="48"/>
      <c r="R163" s="48"/>
      <c r="S163" s="48"/>
      <c r="T163" s="48"/>
      <c r="U163" s="48"/>
    </row>
    <row r="164" spans="1:21" x14ac:dyDescent="0.2">
      <c r="A164" s="18" t="s">
        <v>144</v>
      </c>
      <c r="G164" s="25"/>
      <c r="H164" s="25"/>
      <c r="I164" s="25"/>
      <c r="J164" s="25"/>
      <c r="K164" s="25"/>
    </row>
    <row r="165" spans="1:21" x14ac:dyDescent="0.2">
      <c r="A165" s="1" t="s">
        <v>1278</v>
      </c>
      <c r="D165" s="14">
        <f ca="1">D$366-SUM(D$148,D$157)</f>
        <v>7.5999999999999956E-2</v>
      </c>
      <c r="E165" s="14">
        <f t="shared" ref="E165:U165" ca="1" si="105">E$366-SUM(E$148,E$157)</f>
        <v>7.5199999999999934E-2</v>
      </c>
      <c r="F165" s="14">
        <f t="shared" ca="1" si="105"/>
        <v>8.329999999999993E-2</v>
      </c>
      <c r="G165" s="15">
        <f t="shared" ca="1" si="105"/>
        <v>8.0400000000000027E-2</v>
      </c>
      <c r="H165" s="15">
        <f t="shared" ca="1" si="105"/>
        <v>9.3699999999999894E-2</v>
      </c>
      <c r="I165" s="15">
        <f t="shared" ca="1" si="105"/>
        <v>0.10189999999999999</v>
      </c>
      <c r="J165" s="15">
        <f t="shared" ca="1" si="105"/>
        <v>0.11169999999999991</v>
      </c>
      <c r="K165" s="15">
        <f t="shared" ca="1" si="105"/>
        <v>0.12359999999999993</v>
      </c>
      <c r="L165" s="6">
        <f t="shared" ca="1" si="105"/>
        <v>0.11524431693748993</v>
      </c>
      <c r="M165" s="6">
        <f t="shared" ca="1" si="105"/>
        <v>0.13005449329297236</v>
      </c>
      <c r="N165" s="6">
        <f t="shared" ca="1" si="105"/>
        <v>0.14605416368548441</v>
      </c>
      <c r="O165" s="6">
        <f t="shared" ca="1" si="105"/>
        <v>0.16322994547612879</v>
      </c>
      <c r="P165" s="6">
        <f t="shared" ca="1" si="105"/>
        <v>0.18158948835412803</v>
      </c>
      <c r="Q165" s="6">
        <f t="shared" ca="1" si="105"/>
        <v>0.1963453726877995</v>
      </c>
      <c r="R165" s="6">
        <f t="shared" ca="1" si="105"/>
        <v>0.21114344259858342</v>
      </c>
      <c r="S165" s="6">
        <f t="shared" ca="1" si="105"/>
        <v>0.22627028240182501</v>
      </c>
      <c r="T165" s="6">
        <f t="shared" ca="1" si="105"/>
        <v>0.24179809764083027</v>
      </c>
      <c r="U165" s="6">
        <f t="shared" ca="1" si="105"/>
        <v>0.25774918283464121</v>
      </c>
    </row>
    <row r="166" spans="1:21" x14ac:dyDescent="0.2">
      <c r="A166" s="1" t="s">
        <v>1279</v>
      </c>
      <c r="B166" s="4" t="str">
        <f>$B$37</f>
        <v>From Fiscal</v>
      </c>
      <c r="D166" s="14">
        <f ca="1">'Fiscal Forecasts'!D$153-SUM(D$159,D$165)</f>
        <v>0.6639999999999997</v>
      </c>
      <c r="E166" s="14">
        <f ca="1">'Fiscal Forecasts'!E$153-SUM(E$159,E$165)</f>
        <v>0.64380000000000015</v>
      </c>
      <c r="F166" s="14">
        <f ca="1">'Fiscal Forecasts'!F$153-SUM(F$159,F$165)</f>
        <v>0.35170000000000035</v>
      </c>
      <c r="G166" s="15">
        <f ca="1">'Fiscal Forecasts'!G$153-SUM(G$159,G$165)</f>
        <v>0.62759999999999994</v>
      </c>
      <c r="H166" s="15">
        <f ca="1">'Fiscal Forecasts'!H$153-SUM(H$159,H$165)</f>
        <v>0.58529999999999993</v>
      </c>
      <c r="I166" s="15">
        <f ca="1">'Fiscal Forecasts'!I$153-SUM(I$159,I$165)</f>
        <v>0.7471000000000001</v>
      </c>
      <c r="J166" s="15">
        <f ca="1">'Fiscal Forecasts'!J$153-SUM(J$159,J$165)</f>
        <v>0.53330000000000033</v>
      </c>
      <c r="K166" s="15">
        <f ca="1">'Fiscal Forecasts'!K$153-SUM(K$159,K$165)</f>
        <v>0.52140000000000009</v>
      </c>
      <c r="L166" s="6">
        <f ca="1">IF(L$6=OFFSET(Assumptions!$B$8,0,$C$1),AVERAGE(I$166/I$13,J$166/J$13,K$166/K$13),K$166/K$13)*L$13</f>
        <v>0.6614440990618029</v>
      </c>
      <c r="M166" s="6">
        <f ca="1">IF(M$6=OFFSET(Assumptions!$B$8,0,$C$1),AVERAGE(J$166/J$13,K$166/K$13,L$166/L$13),L$166/L$13)*M$13</f>
        <v>0.69160326027491559</v>
      </c>
      <c r="N166" s="6">
        <f ca="1">IF(N$6=OFFSET(Assumptions!$B$8,0,$C$1),AVERAGE(K$166/K$13,L$166/L$13,M$166/M$13),M$166/M$13)*N$13</f>
        <v>0.72241993228104984</v>
      </c>
      <c r="O166" s="6">
        <f ca="1">IF(O$6=OFFSET(Assumptions!$B$8,0,$C$1),AVERAGE(L$166/L$13,M$166/M$13,N$166/N$13),N$166/N$13)*O$13</f>
        <v>0.75402569381106821</v>
      </c>
      <c r="P166" s="6">
        <f ca="1">IF(P$6=OFFSET(Assumptions!$B$8,0,$C$1),AVERAGE(M$166/M$13,N$166/N$13,O$166/O$13),O$166/O$13)*P$13</f>
        <v>0.78670472423210125</v>
      </c>
      <c r="Q166" s="6">
        <f ca="1">IF(Q$6=OFFSET(Assumptions!$B$8,0,$C$1),AVERAGE(N$166/N$13,O$166/O$13,P$166/P$13),P$166/P$13)*Q$13</f>
        <v>0.82050908224478725</v>
      </c>
      <c r="R166" s="6">
        <f ca="1">IF(R$6=OFFSET(Assumptions!$B$8,0,$C$1),AVERAGE(O$166/O$13,P$166/P$13,Q$166/Q$13),Q$166/Q$13)*R$13</f>
        <v>0.85538060180555708</v>
      </c>
      <c r="S166" s="6">
        <f ca="1">IF(S$6=OFFSET(Assumptions!$B$8,0,$C$1),AVERAGE(P$166/P$13,Q$166/Q$13,R$166/R$13),R$166/R$13)*S$13</f>
        <v>0.89142314020106139</v>
      </c>
      <c r="T166" s="6">
        <f ca="1">IF(T$6=OFFSET(Assumptions!$B$8,0,$C$1),AVERAGE(Q$166/Q$13,R$166/R$13,S$166/S$13),S$166/S$13)*T$13</f>
        <v>0.92866949538689203</v>
      </c>
      <c r="U166" s="6">
        <f ca="1">IF(U$6=OFFSET(Assumptions!$B$8,0,$C$1),AVERAGE(R$166/R$13,S$166/S$13,T$166/T$13),T$166/T$13)*U$13</f>
        <v>0.96723226090979308</v>
      </c>
    </row>
    <row r="167" spans="1:21" ht="15" x14ac:dyDescent="0.25">
      <c r="A167" s="2" t="s">
        <v>424</v>
      </c>
      <c r="B167" s="4"/>
      <c r="D167" s="34">
        <f ca="1">SUM(D$165:D$166)</f>
        <v>0.73999999999999966</v>
      </c>
      <c r="E167" s="34">
        <f t="shared" ref="E167:U167" ca="1" si="106">SUM(E$165:E$166)</f>
        <v>0.71900000000000008</v>
      </c>
      <c r="F167" s="34">
        <f t="shared" ca="1" si="106"/>
        <v>0.43500000000000028</v>
      </c>
      <c r="G167" s="33">
        <f t="shared" ca="1" si="106"/>
        <v>0.70799999999999996</v>
      </c>
      <c r="H167" s="33">
        <f t="shared" ca="1" si="106"/>
        <v>0.67899999999999983</v>
      </c>
      <c r="I167" s="33">
        <f t="shared" ca="1" si="106"/>
        <v>0.84900000000000009</v>
      </c>
      <c r="J167" s="33">
        <f t="shared" ca="1" si="106"/>
        <v>0.64500000000000024</v>
      </c>
      <c r="K167" s="33">
        <f t="shared" ca="1" si="106"/>
        <v>0.64500000000000002</v>
      </c>
      <c r="L167" s="37">
        <f t="shared" ca="1" si="106"/>
        <v>0.77668841599929284</v>
      </c>
      <c r="M167" s="37">
        <f t="shared" ca="1" si="106"/>
        <v>0.82165775356788795</v>
      </c>
      <c r="N167" s="37">
        <f t="shared" ca="1" si="106"/>
        <v>0.86847409596653424</v>
      </c>
      <c r="O167" s="37">
        <f t="shared" ca="1" si="106"/>
        <v>0.917255639287197</v>
      </c>
      <c r="P167" s="37">
        <f t="shared" ca="1" si="106"/>
        <v>0.96829421258622927</v>
      </c>
      <c r="Q167" s="37">
        <f t="shared" ca="1" si="106"/>
        <v>1.0168544549325866</v>
      </c>
      <c r="R167" s="37">
        <f t="shared" ca="1" si="106"/>
        <v>1.0665240444041406</v>
      </c>
      <c r="S167" s="37">
        <f t="shared" ca="1" si="106"/>
        <v>1.1176934226028865</v>
      </c>
      <c r="T167" s="37">
        <f t="shared" ca="1" si="106"/>
        <v>1.1704675930277224</v>
      </c>
      <c r="U167" s="37">
        <f t="shared" ca="1" si="106"/>
        <v>1.2249814437444342</v>
      </c>
    </row>
    <row r="168" spans="1:21" ht="15" x14ac:dyDescent="0.25">
      <c r="A168" s="2" t="s">
        <v>425</v>
      </c>
      <c r="B168" s="4" t="str">
        <f>$B$37</f>
        <v>From Fiscal</v>
      </c>
      <c r="D168" s="39">
        <f ca="1">'Fiscal Forecasts'!D$13-D$162</f>
        <v>3.6149999999999998</v>
      </c>
      <c r="E168" s="39">
        <f ca="1">'Fiscal Forecasts'!E$13-E$162</f>
        <v>3.8809999999999998</v>
      </c>
      <c r="F168" s="39">
        <f ca="1">'Fiscal Forecasts'!F$13-F$162</f>
        <v>3.7040000000000006</v>
      </c>
      <c r="G168" s="38">
        <f ca="1">'Fiscal Forecasts'!G$13-G$162</f>
        <v>3.9729999999999999</v>
      </c>
      <c r="H168" s="38">
        <f ca="1">'Fiscal Forecasts'!H$13-H$162</f>
        <v>4.1370000000000005</v>
      </c>
      <c r="I168" s="38">
        <f ca="1">'Fiscal Forecasts'!I$13-I$162</f>
        <v>4.4819999999999993</v>
      </c>
      <c r="J168" s="38">
        <f ca="1">'Fiscal Forecasts'!J$13-J$162</f>
        <v>4.5990000000000002</v>
      </c>
      <c r="K168" s="38">
        <f ca="1">'Fiscal Forecasts'!K$13-K$162</f>
        <v>4.6270000000000007</v>
      </c>
      <c r="L168" s="7">
        <f ca="1">SUM(L$167,IF(L$6=OFFSET(Assumptions!$B$8,0,$C$1),AVERAGE((I$168-I$167)/I$13,(J$168-J$167)/J$13,(K$168-K$167)/K$13),(K$168-K$167)/K$13)*L$13)</f>
        <v>4.9941573559167676</v>
      </c>
      <c r="M168" s="7">
        <f ca="1">SUM(M$167,IF(M$6=OFFSET(Assumptions!$B$8,0,$C$1),AVERAGE((J$168-J$167)/J$13,(K$168-K$167)/K$13,(L$168-L$167)/L$13),(L$168-L$167)/L$13)*M$13)</f>
        <v>5.2314261271800344</v>
      </c>
      <c r="N168" s="7">
        <f ca="1">SUM(N$167,IF(N$6=OFFSET(Assumptions!$B$8,0,$C$1),AVERAGE((K$168-K$167)/K$13,(L$168-L$167)/L$13,(M$168-M$167)/M$13),(M$168-M$167)/M$13)*N$13)</f>
        <v>5.4747342928511893</v>
      </c>
      <c r="O168" s="7">
        <f ca="1">SUM(O$167,IF(O$6=OFFSET(Assumptions!$B$8,0,$C$1),AVERAGE((L$168-L$167)/L$13,(M$168-M$167)/M$13,(N$168-N$167)/N$13),(N$168-N$167)/N$13)*O$13)</f>
        <v>5.7250390151742199</v>
      </c>
      <c r="P168" s="7">
        <f ca="1">SUM(P$167,IF(P$6=OFFSET(Assumptions!$B$8,0,$C$1),AVERAGE((M$168-M$167)/M$13,(N$168-N$167)/N$13,(O$168-O$167)/O$13),(O$168-O$167)/O$13)*P$13)</f>
        <v>5.984444094399926</v>
      </c>
      <c r="Q168" s="7">
        <f ca="1">SUM(Q$167,IF(Q$6=OFFSET(Assumptions!$B$8,0,$C$1),AVERAGE((N$168-N$167)/N$13,(O$168-O$167)/O$13,(P$168-P$167)/P$13),(P$168-P$167)/P$13)*Q$13)</f>
        <v>6.2485461038503729</v>
      </c>
      <c r="R168" s="7">
        <f ca="1">SUM(R$167,IF(R$6=OFFSET(Assumptions!$B$8,0,$C$1),AVERAGE((O$168-O$167)/O$13,(P$168-P$167)/P$13,(Q$168-Q$167)/Q$13),(Q$168-Q$167)/Q$13)*R$13)</f>
        <v>6.5205618459958661</v>
      </c>
      <c r="S168" s="7">
        <f ca="1">SUM(S$167,IF(S$6=OFFSET(Assumptions!$B$8,0,$C$1),AVERAGE((P$168-P$167)/P$13,(Q$168-Q$167)/Q$13,(R$168-R$167)/R$13),(R$168-R$167)/R$13)*S$13)</f>
        <v>6.8015439724138975</v>
      </c>
      <c r="T168" s="7">
        <f ca="1">SUM(T$167,IF(T$6=OFFSET(Assumptions!$B$8,0,$C$1),AVERAGE((Q$168-Q$167)/Q$13,(R$168-R$167)/R$13,(S$168-S$167)/S$13),(S$168-S$167)/S$13)*T$13)</f>
        <v>7.0918066113944063</v>
      </c>
      <c r="U168" s="7">
        <f ca="1">SUM(U$167,IF(U$6=OFFSET(Assumptions!$B$8,0,$C$1),AVERAGE((R$168-R$167)/R$13,(S$168-S$167)/S$13,(T$168-T$167)/T$13),(T$168-T$167)/T$13)*U$13)</f>
        <v>7.3922025647118392</v>
      </c>
    </row>
    <row r="169" spans="1:21" ht="15" x14ac:dyDescent="0.25">
      <c r="A169" s="2"/>
      <c r="B169" s="4"/>
      <c r="G169" s="25"/>
      <c r="H169" s="25"/>
      <c r="I169" s="25"/>
      <c r="J169" s="25"/>
      <c r="K169" s="25"/>
    </row>
    <row r="170" spans="1:21" x14ac:dyDescent="0.2">
      <c r="A170" s="18" t="s">
        <v>146</v>
      </c>
      <c r="D170" s="6"/>
      <c r="E170" s="6"/>
      <c r="F170" s="6"/>
      <c r="G170" s="15"/>
      <c r="H170" s="15"/>
      <c r="I170" s="15"/>
      <c r="J170" s="15"/>
      <c r="K170" s="15"/>
      <c r="L170" s="6"/>
      <c r="M170" s="6"/>
      <c r="N170" s="6"/>
      <c r="O170" s="6"/>
      <c r="P170" s="6"/>
      <c r="Q170" s="6"/>
      <c r="R170" s="6"/>
      <c r="S170" s="6"/>
      <c r="T170" s="6"/>
      <c r="U170" s="6"/>
    </row>
    <row r="171" spans="1:21" x14ac:dyDescent="0.2">
      <c r="A171" s="1" t="s">
        <v>433</v>
      </c>
      <c r="B171" s="4" t="str">
        <f t="shared" ref="B171:B187" si="107">$B$37</f>
        <v>From Fiscal</v>
      </c>
      <c r="D171" s="14">
        <f>'Fiscal Forecasts'!D$227</f>
        <v>11.590999999999999</v>
      </c>
      <c r="E171" s="14">
        <f>'Fiscal Forecasts'!E$227</f>
        <v>12.266999999999999</v>
      </c>
      <c r="F171" s="14">
        <f>'Fiscal Forecasts'!F$227</f>
        <v>13.042999999999999</v>
      </c>
      <c r="G171" s="15">
        <f>'Fiscal Forecasts'!G$227</f>
        <v>13.702999999999999</v>
      </c>
      <c r="H171" s="15">
        <f>'Fiscal Forecasts'!H$227</f>
        <v>14.539</v>
      </c>
      <c r="I171" s="15">
        <f>'Fiscal Forecasts'!I$227</f>
        <v>15.439</v>
      </c>
      <c r="J171" s="15">
        <f>'Fiscal Forecasts'!J$227</f>
        <v>16.332999999999998</v>
      </c>
      <c r="K171" s="15">
        <f>'Fiscal Forecasts'!K$227</f>
        <v>17.353000000000002</v>
      </c>
      <c r="L171" s="6">
        <f ca="1">K$171*(1+Population!S$222)*L$192/K$192</f>
        <v>18.285801933534746</v>
      </c>
      <c r="M171" s="6">
        <f ca="1">L$171*(1+Population!T$222)*M$192/L$192</f>
        <v>19.546790190896726</v>
      </c>
      <c r="N171" s="6">
        <f ca="1">M$171*(1+Population!U$222)*N$192/M$192</f>
        <v>20.917352445641338</v>
      </c>
      <c r="O171" s="6">
        <f ca="1">N$171*(1+Population!V$222)*O$192/N$192</f>
        <v>22.400339543844808</v>
      </c>
      <c r="P171" s="6">
        <f ca="1">O$171*(1+Population!W$222)*P$192/O$192</f>
        <v>23.973798605017446</v>
      </c>
      <c r="Q171" s="6">
        <f ca="1">P$171*(1+Population!X$222)*Q$192/P$192</f>
        <v>25.614988655534752</v>
      </c>
      <c r="R171" s="6">
        <f ca="1">Q$171*(1+Population!Y$222)*R$192/Q$192</f>
        <v>27.300808735693789</v>
      </c>
      <c r="S171" s="6">
        <f ca="1">R$171*(1+Population!Z$222)*S$192/R$192</f>
        <v>28.994385314711653</v>
      </c>
      <c r="T171" s="6">
        <f ca="1">S$171*(1+Population!AA$222)*T$192/S$192</f>
        <v>30.739780866778254</v>
      </c>
      <c r="U171" s="6">
        <f ca="1">T$171*(1+Population!AB$222)*U$192/T$192</f>
        <v>32.557065123691238</v>
      </c>
    </row>
    <row r="172" spans="1:21" x14ac:dyDescent="0.2">
      <c r="A172" s="1" t="s">
        <v>462</v>
      </c>
      <c r="B172" s="4" t="str">
        <f t="shared" si="107"/>
        <v>From Fiscal</v>
      </c>
      <c r="D172" s="14">
        <f>'Fiscal Forecasts'!D$228</f>
        <v>1.6839999999999999</v>
      </c>
      <c r="E172" s="14">
        <f>'Fiscal Forecasts'!E$228</f>
        <v>1.671</v>
      </c>
      <c r="F172" s="14">
        <f>'Fiscal Forecasts'!F$228</f>
        <v>1.6970000000000001</v>
      </c>
      <c r="G172" s="15">
        <f>'Fiscal Forecasts'!G$228</f>
        <v>1.6930000000000001</v>
      </c>
      <c r="H172" s="15">
        <f>'Fiscal Forecasts'!H$228</f>
        <v>1.712</v>
      </c>
      <c r="I172" s="15">
        <f>'Fiscal Forecasts'!I$228</f>
        <v>1.66</v>
      </c>
      <c r="J172" s="15">
        <f>'Fiscal Forecasts'!J$228</f>
        <v>1.599</v>
      </c>
      <c r="K172" s="15">
        <f>'Fiscal Forecasts'!K$228</f>
        <v>1.5940000000000001</v>
      </c>
      <c r="L172" s="6">
        <f ca="1">IF(OFFSET(Assumptions!$B$50,0,$C$1)="Yes",IF(L$6=OFFSET(Assumptions!$B$8,0,$C$1),AVERAGE(I$172/SUM(I$172:I$174),J$172/SUM(J$172:J$174),K$172/SUM(K$172:K$174)),K$172/SUM(K$172:K$174))*L$13*(SUM(K$172:K$174)/K$13+MIN(ABS(OFFSET(Assumptions!$B$51,0,$C$1)-SUM(K$172:K$174)/K$13),OFFSET(Assumptions!$B$58,0,$C$1))*SIGN(OFFSET(Assumptions!$B$51,0,$C$1)-SUM(K$172:K$174)/K$13)),K$172*(1+Exogenous!$B$41*Population!S$208+Exogenous!$B$42*Population!S$210+Exogenous!$B$43*Population!S$213+Exogenous!$B$44*Population!S$216+Exogenous!$B$45*Population!S$220+Exogenous!$B$46*Population!S$222)*AVERAGE(1,L$17*L$24/(K$17*K$24))*(1+L$30))</f>
        <v>1.6573771613233199</v>
      </c>
      <c r="M172" s="6">
        <f ca="1">IF(OFFSET(Assumptions!$B$50,0,$C$1)="Yes",IF(M$6=OFFSET(Assumptions!$B$8,0,$C$1),AVERAGE(J$172/SUM(J$172:J$174),K$172/SUM(K$172:K$174),L$172/SUM(L$172:L$174)),L$172/SUM(L$172:L$174))*M$13*(SUM(L$172:L$174)/L$13+MIN(ABS(OFFSET(Assumptions!$B$51,0,$C$1)-SUM(L$172:L$174)/L$13),OFFSET(Assumptions!$B$58,0,$C$1))*SIGN(OFFSET(Assumptions!$B$51,0,$C$1)-SUM(L$172:L$174)/L$13)),L$172*(1+Exogenous!$B$41*Population!T$208+Exogenous!$B$42*Population!T$210+Exogenous!$B$43*Population!T$213+Exogenous!$B$44*Population!T$216+Exogenous!$B$45*Population!T$220+Exogenous!$B$46*Population!T$222)*AVERAGE(1,M$17*M$24/(L$17*L$24))*(1+M$30))</f>
        <v>1.7028243581098861</v>
      </c>
      <c r="N172" s="6">
        <f ca="1">IF(OFFSET(Assumptions!$B$50,0,$C$1)="Yes",IF(N$6=OFFSET(Assumptions!$B$8,0,$C$1),AVERAGE(K$172/SUM(K$172:K$174),L$172/SUM(L$172:L$174),M$172/SUM(M$172:M$174)),M$172/SUM(M$172:M$174))*N$13*(SUM(M$172:M$174)/M$13+MIN(ABS(OFFSET(Assumptions!$B$51,0,$C$1)-SUM(M$172:M$174)/M$13),OFFSET(Assumptions!$B$58,0,$C$1))*SIGN(OFFSET(Assumptions!$B$51,0,$C$1)-SUM(M$172:M$174)/M$13)),M$172*(1+Exogenous!$B$41*Population!U$208+Exogenous!$B$42*Population!U$210+Exogenous!$B$43*Population!U$213+Exogenous!$B$44*Population!U$216+Exogenous!$B$45*Population!U$220+Exogenous!$B$46*Population!U$222)*AVERAGE(1,N$17*N$24/(M$17*M$24))*(1+N$30))</f>
        <v>1.749559439583392</v>
      </c>
      <c r="O172" s="6">
        <f ca="1">IF(OFFSET(Assumptions!$B$50,0,$C$1)="Yes",IF(O$6=OFFSET(Assumptions!$B$8,0,$C$1),AVERAGE(L$172/SUM(L$172:L$174),M$172/SUM(M$172:M$174),N$172/SUM(N$172:N$174)),N$172/SUM(N$172:N$174))*O$13*(SUM(N$172:N$174)/N$13+MIN(ABS(OFFSET(Assumptions!$B$51,0,$C$1)-SUM(N$172:N$174)/N$13),OFFSET(Assumptions!$B$58,0,$C$1))*SIGN(OFFSET(Assumptions!$B$51,0,$C$1)-SUM(N$172:N$174)/N$13)),N$172*(1+Exogenous!$B$41*Population!V$208+Exogenous!$B$42*Population!V$210+Exogenous!$B$43*Population!V$213+Exogenous!$B$44*Population!V$216+Exogenous!$B$45*Population!V$220+Exogenous!$B$46*Population!V$222)*AVERAGE(1,O$17*O$24/(N$17*N$24))*(1+O$30))</f>
        <v>1.7972344511102687</v>
      </c>
      <c r="P172" s="6">
        <f ca="1">IF(OFFSET(Assumptions!$B$50,0,$C$1)="Yes",IF(P$6=OFFSET(Assumptions!$B$8,0,$C$1),AVERAGE(M$172/SUM(M$172:M$174),N$172/SUM(N$172:N$174),O$172/SUM(O$172:O$174)),O$172/SUM(O$172:O$174))*P$13*(SUM(O$172:O$174)/O$13+MIN(ABS(OFFSET(Assumptions!$B$51,0,$C$1)-SUM(O$172:O$174)/O$13),OFFSET(Assumptions!$B$58,0,$C$1))*SIGN(OFFSET(Assumptions!$B$51,0,$C$1)-SUM(O$172:O$174)/O$13)),O$172*(1+Exogenous!$B$41*Population!W$208+Exogenous!$B$42*Population!W$210+Exogenous!$B$43*Population!W$213+Exogenous!$B$44*Population!W$216+Exogenous!$B$45*Population!W$220+Exogenous!$B$46*Population!W$222)*AVERAGE(1,P$17*P$24/(O$17*O$24))*(1+P$30))</f>
        <v>1.8455988598812441</v>
      </c>
      <c r="Q172" s="6">
        <f ca="1">IF(OFFSET(Assumptions!$B$50,0,$C$1)="Yes",IF(Q$6=OFFSET(Assumptions!$B$8,0,$C$1),AVERAGE(N$172/SUM(N$172:N$174),O$172/SUM(O$172:O$174),P$172/SUM(P$172:P$174)),P$172/SUM(P$172:P$174))*Q$13*(SUM(P$172:P$174)/P$13+MIN(ABS(OFFSET(Assumptions!$B$51,0,$C$1)-SUM(P$172:P$174)/P$13),OFFSET(Assumptions!$B$58,0,$C$1))*SIGN(OFFSET(Assumptions!$B$51,0,$C$1)-SUM(P$172:P$174)/P$13)),P$172*(1+Exogenous!$B$41*Population!X$208+Exogenous!$B$42*Population!X$210+Exogenous!$B$43*Population!X$213+Exogenous!$B$44*Population!X$216+Exogenous!$B$45*Population!X$220+Exogenous!$B$46*Population!X$222)*AVERAGE(1,Q$17*Q$24/(P$17*P$24))*(1+Q$30))</f>
        <v>1.8967564274067696</v>
      </c>
      <c r="R172" s="6">
        <f ca="1">IF(OFFSET(Assumptions!$B$50,0,$C$1)="Yes",IF(R$6=OFFSET(Assumptions!$B$8,0,$C$1),AVERAGE(O$172/SUM(O$172:O$174),P$172/SUM(P$172:P$174),Q$172/SUM(Q$172:Q$174)),Q$172/SUM(Q$172:Q$174))*R$13*(SUM(Q$172:Q$174)/Q$13+MIN(ABS(OFFSET(Assumptions!$B$51,0,$C$1)-SUM(Q$172:Q$174)/Q$13),OFFSET(Assumptions!$B$58,0,$C$1))*SIGN(OFFSET(Assumptions!$B$51,0,$C$1)-SUM(Q$172:Q$174)/Q$13)),Q$172*(1+Exogenous!$B$41*Population!Y$208+Exogenous!$B$42*Population!Y$210+Exogenous!$B$43*Population!Y$213+Exogenous!$B$44*Population!Y$216+Exogenous!$B$45*Population!Y$220+Exogenous!$B$46*Population!Y$222)*AVERAGE(1,R$17*R$24/(Q$17*Q$24))*(1+R$30))</f>
        <v>1.949568958476815</v>
      </c>
      <c r="S172" s="6">
        <f ca="1">IF(OFFSET(Assumptions!$B$50,0,$C$1)="Yes",IF(S$6=OFFSET(Assumptions!$B$8,0,$C$1),AVERAGE(P$172/SUM(P$172:P$174),Q$172/SUM(Q$172:Q$174),R$172/SUM(R$172:R$174)),R$172/SUM(R$172:R$174))*S$13*(SUM(R$172:R$174)/R$13+MIN(ABS(OFFSET(Assumptions!$B$51,0,$C$1)-SUM(R$172:R$174)/R$13),OFFSET(Assumptions!$B$58,0,$C$1))*SIGN(OFFSET(Assumptions!$B$51,0,$C$1)-SUM(R$172:R$174)/R$13)),R$172*(1+Exogenous!$B$41*Population!Z$208+Exogenous!$B$42*Population!Z$210+Exogenous!$B$43*Population!Z$213+Exogenous!$B$44*Population!Z$216+Exogenous!$B$45*Population!Z$220+Exogenous!$B$46*Population!Z$222)*AVERAGE(1,S$17*S$24/(R$17*R$24))*(1+S$30))</f>
        <v>2.0042183199956058</v>
      </c>
      <c r="T172" s="6">
        <f ca="1">IF(OFFSET(Assumptions!$B$50,0,$C$1)="Yes",IF(T$6=OFFSET(Assumptions!$B$8,0,$C$1),AVERAGE(Q$172/SUM(Q$172:Q$174),R$172/SUM(R$172:R$174),S$172/SUM(S$172:S$174)),S$172/SUM(S$172:S$174))*T$13*(SUM(S$172:S$174)/S$13+MIN(ABS(OFFSET(Assumptions!$B$51,0,$C$1)-SUM(S$172:S$174)/S$13),OFFSET(Assumptions!$B$58,0,$C$1))*SIGN(OFFSET(Assumptions!$B$51,0,$C$1)-SUM(S$172:S$174)/S$13)),S$172*(1+Exogenous!$B$41*Population!AA$208+Exogenous!$B$42*Population!AA$210+Exogenous!$B$43*Population!AA$213+Exogenous!$B$44*Population!AA$216+Exogenous!$B$45*Population!AA$220+Exogenous!$B$46*Population!AA$222)*AVERAGE(1,T$17*T$24/(S$17*S$24))*(1+T$30))</f>
        <v>2.060924030118235</v>
      </c>
      <c r="U172" s="6">
        <f ca="1">IF(OFFSET(Assumptions!$B$50,0,$C$1)="Yes",IF(U$6=OFFSET(Assumptions!$B$8,0,$C$1),AVERAGE(R$172/SUM(R$172:R$174),S$172/SUM(S$172:S$174),T$172/SUM(T$172:T$174)),T$172/SUM(T$172:T$174))*U$13*(SUM(T$172:T$174)/T$13+MIN(ABS(OFFSET(Assumptions!$B$51,0,$C$1)-SUM(T$172:T$174)/T$13),OFFSET(Assumptions!$B$58,0,$C$1))*SIGN(OFFSET(Assumptions!$B$51,0,$C$1)-SUM(T$172:T$174)/T$13)),T$172*(1+Exogenous!$B$41*Population!AB$208+Exogenous!$B$42*Population!AB$210+Exogenous!$B$43*Population!AB$213+Exogenous!$B$44*Population!AB$216+Exogenous!$B$45*Population!AB$220+Exogenous!$B$46*Population!AB$222)*AVERAGE(1,U$17*U$24/(T$17*T$24))*(1+U$30))</f>
        <v>2.1188971156233363</v>
      </c>
    </row>
    <row r="173" spans="1:21" x14ac:dyDescent="0.2">
      <c r="A173" s="1" t="s">
        <v>291</v>
      </c>
      <c r="B173" s="4" t="str">
        <f t="shared" si="107"/>
        <v>From Fiscal</v>
      </c>
      <c r="D173" s="14">
        <f>'Fiscal Forecasts'!D$229</f>
        <v>1.5149999999999999</v>
      </c>
      <c r="E173" s="14">
        <f>'Fiscal Forecasts'!E$229</f>
        <v>1.5229999999999999</v>
      </c>
      <c r="F173" s="14">
        <f>'Fiscal Forecasts'!F$229</f>
        <v>1.5329999999999999</v>
      </c>
      <c r="G173" s="15">
        <f>'Fiscal Forecasts'!G$229</f>
        <v>1.54</v>
      </c>
      <c r="H173" s="15">
        <f>'Fiscal Forecasts'!H$229</f>
        <v>1.5549999999999999</v>
      </c>
      <c r="I173" s="15">
        <f>'Fiscal Forecasts'!I$229</f>
        <v>1.569</v>
      </c>
      <c r="J173" s="15">
        <f>'Fiscal Forecasts'!J$229</f>
        <v>1.5780000000000001</v>
      </c>
      <c r="K173" s="15">
        <f>'Fiscal Forecasts'!K$229</f>
        <v>1.5920000000000001</v>
      </c>
      <c r="L173" s="6">
        <f ca="1">IF(OFFSET(Assumptions!$B$50,0,$C$1)="Yes",IF(L$6=OFFSET(Assumptions!$B$8,0,$C$1),AVERAGE(I$173/SUM(I$172:I$174),J$173/SUM(J$172:J$174),K$173/SUM(K$172:K$174)),K$173/SUM(K$172:K$174))*L$13*(SUM(K$172:K$174)/K$13+MIN(ABS(OFFSET(Assumptions!$B$51,0,$C$1)-SUM(K$172:K$174)/K$13),OFFSET(Assumptions!$B$58,0,$C$1))*SIGN(OFFSET(Assumptions!$B$51,0,$C$1)-SUM(K$172:K$174)/K$13)),K$173*(1+Exogenous!$I$41*Population!S$208+Exogenous!$I$42*Population!S$212+Exogenous!$I$43*Population!S$215+Exogenous!$I$44*Population!S$219+Exogenous!$I$45*Population!S$221+Exogenous!$I$46*Population!S$222)*(1+L$30))</f>
        <v>1.6325339228954787</v>
      </c>
      <c r="M173" s="6">
        <f ca="1">IF(OFFSET(Assumptions!$B$50,0,$C$1)="Yes",IF(M$6=OFFSET(Assumptions!$B$8,0,$C$1),AVERAGE(J$173/SUM(J$172:J$174),K$173/SUM(K$172:K$174),L$173/SUM(L$172:L$174)),L$173/SUM(L$172:L$174))*M$13*(SUM(L$172:L$174)/L$13+MIN(ABS(OFFSET(Assumptions!$B$51,0,$C$1)-SUM(L$172:L$174)/L$13),OFFSET(Assumptions!$B$58,0,$C$1))*SIGN(OFFSET(Assumptions!$B$51,0,$C$1)-SUM(L$172:L$174)/L$13)),L$173*(1+Exogenous!$I$41*Population!T$208+Exogenous!$I$42*Population!T$212+Exogenous!$I$43*Population!T$215+Exogenous!$I$44*Population!T$219+Exogenous!$I$45*Population!T$221+Exogenous!$I$46*Population!T$222)*(1+M$30))</f>
        <v>1.6713114575856376</v>
      </c>
      <c r="N173" s="6">
        <f ca="1">IF(OFFSET(Assumptions!$B$50,0,$C$1)="Yes",IF(N$6=OFFSET(Assumptions!$B$8,0,$C$1),AVERAGE(K$173/SUM(K$172:K$174),L$173/SUM(L$172:L$174),M$173/SUM(M$172:M$174)),M$173/SUM(M$172:M$174))*N$13*(SUM(M$172:M$174)/M$13+MIN(ABS(OFFSET(Assumptions!$B$51,0,$C$1)-SUM(M$172:M$174)/M$13),OFFSET(Assumptions!$B$58,0,$C$1))*SIGN(OFFSET(Assumptions!$B$51,0,$C$1)-SUM(M$172:M$174)/M$13)),M$173*(1+Exogenous!$I$41*Population!U$208+Exogenous!$I$42*Population!U$212+Exogenous!$I$43*Population!U$215+Exogenous!$I$44*Population!U$219+Exogenous!$I$45*Population!U$221+Exogenous!$I$46*Population!U$222)*(1+N$30))</f>
        <v>1.7108910365055487</v>
      </c>
      <c r="O173" s="6">
        <f ca="1">IF(OFFSET(Assumptions!$B$50,0,$C$1)="Yes",IF(O$6=OFFSET(Assumptions!$B$8,0,$C$1),AVERAGE(L$173/SUM(L$172:L$174),M$173/SUM(M$172:M$174),N$173/SUM(N$172:N$174)),N$173/SUM(N$172:N$174))*O$13*(SUM(N$172:N$174)/N$13+MIN(ABS(OFFSET(Assumptions!$B$51,0,$C$1)-SUM(N$172:N$174)/N$13),OFFSET(Assumptions!$B$58,0,$C$1))*SIGN(OFFSET(Assumptions!$B$51,0,$C$1)-SUM(N$172:N$174)/N$13)),N$173*(1+Exogenous!$I$41*Population!V$208+Exogenous!$I$42*Population!V$212+Exogenous!$I$43*Population!V$215+Exogenous!$I$44*Population!V$219+Exogenous!$I$45*Population!V$221+Exogenous!$I$46*Population!V$222)*(1+O$30))</f>
        <v>1.7497843661954546</v>
      </c>
      <c r="P173" s="6">
        <f ca="1">IF(OFFSET(Assumptions!$B$50,0,$C$1)="Yes",IF(P$6=OFFSET(Assumptions!$B$8,0,$C$1),AVERAGE(M$173/SUM(M$172:M$174),N$173/SUM(N$172:N$174),O$173/SUM(O$172:O$174)),O$173/SUM(O$172:O$174))*P$13*(SUM(O$172:O$174)/O$13+MIN(ABS(OFFSET(Assumptions!$B$51,0,$C$1)-SUM(O$172:O$174)/O$13),OFFSET(Assumptions!$B$58,0,$C$1))*SIGN(OFFSET(Assumptions!$B$51,0,$C$1)-SUM(O$172:O$174)/O$13)),O$173*(1+Exogenous!$I$41*Population!W$208+Exogenous!$I$42*Population!W$212+Exogenous!$I$43*Population!W$215+Exogenous!$I$44*Population!W$219+Exogenous!$I$45*Population!W$221+Exogenous!$I$46*Population!W$222)*(1+P$30))</f>
        <v>1.7885911459598338</v>
      </c>
      <c r="Q173" s="6">
        <f ca="1">IF(OFFSET(Assumptions!$B$50,0,$C$1)="Yes",IF(Q$6=OFFSET(Assumptions!$B$8,0,$C$1),AVERAGE(N$173/SUM(N$172:N$174),O$173/SUM(O$172:O$174),P$173/SUM(P$172:P$174)),P$173/SUM(P$172:P$174))*Q$13*(SUM(P$172:P$174)/P$13+MIN(ABS(OFFSET(Assumptions!$B$51,0,$C$1)-SUM(P$172:P$174)/P$13),OFFSET(Assumptions!$B$58,0,$C$1))*SIGN(OFFSET(Assumptions!$B$51,0,$C$1)-SUM(P$172:P$174)/P$13)),P$173*(1+Exogenous!$I$41*Population!X$208+Exogenous!$I$42*Population!X$212+Exogenous!$I$43*Population!X$215+Exogenous!$I$44*Population!X$219+Exogenous!$I$45*Population!X$221+Exogenous!$I$46*Population!X$222)*(1+Q$30))</f>
        <v>1.8291516905098115</v>
      </c>
      <c r="R173" s="6">
        <f ca="1">IF(OFFSET(Assumptions!$B$50,0,$C$1)="Yes",IF(R$6=OFFSET(Assumptions!$B$8,0,$C$1),AVERAGE(O$173/SUM(O$172:O$174),P$173/SUM(P$172:P$174),Q$173/SUM(Q$172:Q$174)),Q$173/SUM(Q$172:Q$174))*R$13*(SUM(Q$172:Q$174)/Q$13+MIN(ABS(OFFSET(Assumptions!$B$51,0,$C$1)-SUM(Q$172:Q$174)/Q$13),OFFSET(Assumptions!$B$58,0,$C$1))*SIGN(OFFSET(Assumptions!$B$51,0,$C$1)-SUM(Q$172:Q$174)/Q$13)),Q$173*(1+Exogenous!$I$41*Population!Y$208+Exogenous!$I$42*Population!Y$212+Exogenous!$I$43*Population!Y$215+Exogenous!$I$44*Population!Y$219+Exogenous!$I$45*Population!Y$221+Exogenous!$I$46*Population!Y$222)*(1+R$30))</f>
        <v>1.8724590831645946</v>
      </c>
      <c r="S173" s="6">
        <f ca="1">IF(OFFSET(Assumptions!$B$50,0,$C$1)="Yes",IF(S$6=OFFSET(Assumptions!$B$8,0,$C$1),AVERAGE(P$173/SUM(P$172:P$174),Q$173/SUM(Q$172:Q$174),R$173/SUM(R$172:R$174)),R$173/SUM(R$172:R$174))*S$13*(SUM(R$172:R$174)/R$13+MIN(ABS(OFFSET(Assumptions!$B$51,0,$C$1)-SUM(R$172:R$174)/R$13),OFFSET(Assumptions!$B$58,0,$C$1))*SIGN(OFFSET(Assumptions!$B$51,0,$C$1)-SUM(R$172:R$174)/R$13)),R$173*(1+Exogenous!$I$41*Population!Z$208+Exogenous!$I$42*Population!Z$212+Exogenous!$I$43*Population!Z$215+Exogenous!$I$44*Population!Z$219+Exogenous!$I$45*Population!Z$221+Exogenous!$I$46*Population!Z$222)*(1+S$30))</f>
        <v>1.9197110043596075</v>
      </c>
      <c r="T173" s="6">
        <f ca="1">IF(OFFSET(Assumptions!$B$50,0,$C$1)="Yes",IF(T$6=OFFSET(Assumptions!$B$8,0,$C$1),AVERAGE(Q$173/SUM(Q$172:Q$174),R$173/SUM(R$172:R$174),S$173/SUM(S$172:S$174)),S$173/SUM(S$172:S$174))*T$13*(SUM(S$172:S$174)/S$13+MIN(ABS(OFFSET(Assumptions!$B$51,0,$C$1)-SUM(S$172:S$174)/S$13),OFFSET(Assumptions!$B$58,0,$C$1))*SIGN(OFFSET(Assumptions!$B$51,0,$C$1)-SUM(S$172:S$174)/S$13)),S$173*(1+Exogenous!$I$41*Population!AA$208+Exogenous!$I$42*Population!AA$212+Exogenous!$I$43*Population!AA$215+Exogenous!$I$44*Population!AA$219+Exogenous!$I$45*Population!AA$221+Exogenous!$I$46*Population!AA$222)*(1+T$30))</f>
        <v>1.969868204549525</v>
      </c>
      <c r="U173" s="6">
        <f ca="1">IF(OFFSET(Assumptions!$B$50,0,$C$1)="Yes",IF(U$6=OFFSET(Assumptions!$B$8,0,$C$1),AVERAGE(R$173/SUM(R$172:R$174),S$173/SUM(S$172:S$174),T$173/SUM(T$172:T$174)),T$173/SUM(T$172:T$174))*U$13*(SUM(T$172:T$174)/T$13+MIN(ABS(OFFSET(Assumptions!$B$51,0,$C$1)-SUM(T$172:T$174)/T$13),OFFSET(Assumptions!$B$58,0,$C$1))*SIGN(OFFSET(Assumptions!$B$51,0,$C$1)-SUM(T$172:T$174)/T$13)),T$173*(1+Exogenous!$I$41*Population!AB$208+Exogenous!$I$42*Population!AB$212+Exogenous!$I$43*Population!AB$215+Exogenous!$I$44*Population!AB$219+Exogenous!$I$45*Population!AB$221+Exogenous!$I$46*Population!AB$222)*(1+U$30))</f>
        <v>2.0197894136562224</v>
      </c>
    </row>
    <row r="174" spans="1:21" x14ac:dyDescent="0.2">
      <c r="A174" s="1" t="s">
        <v>292</v>
      </c>
      <c r="B174" s="4" t="str">
        <f t="shared" si="107"/>
        <v>From Fiscal</v>
      </c>
      <c r="D174" s="14">
        <f>'Fiscal Forecasts'!D$230</f>
        <v>1.1859999999999999</v>
      </c>
      <c r="E174" s="14">
        <f>'Fiscal Forecasts'!E$230</f>
        <v>1.153</v>
      </c>
      <c r="F174" s="14">
        <f>'Fiscal Forecasts'!F$230</f>
        <v>1.159</v>
      </c>
      <c r="G174" s="15">
        <f>'Fiscal Forecasts'!G$230</f>
        <v>1.109</v>
      </c>
      <c r="H174" s="15">
        <f>'Fiscal Forecasts'!H$230</f>
        <v>1.0840000000000001</v>
      </c>
      <c r="I174" s="15">
        <f>'Fiscal Forecasts'!I$230</f>
        <v>1.095</v>
      </c>
      <c r="J174" s="15">
        <f>'Fiscal Forecasts'!J$230</f>
        <v>1.1140000000000001</v>
      </c>
      <c r="K174" s="15">
        <f>'Fiscal Forecasts'!K$230</f>
        <v>1.139</v>
      </c>
      <c r="L174" s="6">
        <f ca="1">IF(OFFSET(Assumptions!$B$50,0,$C$1)="Yes",IF(L$6=OFFSET(Assumptions!$B$8,0,$C$1),AVERAGE(I$174/SUM(I$172:I$174),J$174/SUM(J$172:J$174),K$174/SUM(K$172:K$174)),K$174/SUM(K$172:K$174))*L$13*(SUM(K$172:K$174)/K$13+MIN(ABS(OFFSET(Assumptions!$B$51,0,$C$1)-SUM(K$172:K$174)/K$13),OFFSET(Assumptions!$B$58,0,$C$1))*SIGN(OFFSET(Assumptions!$B$51,0,$C$1)-SUM(K$172:K$174)/K$13)),K$174*(1+Exogenous!$P$41*Population!S$209+Exogenous!$P$42*Population!S$211+Exogenous!$P$43*Population!S$214+Exogenous!$P$44*Population!S$217+Exogenous!$P$45*Population!S$218+Exogenous!$P$46*Population!S$223)*(1+L$30))</f>
        <v>1.1615113399324137</v>
      </c>
      <c r="M174" s="6">
        <f ca="1">IF(OFFSET(Assumptions!$B$50,0,$C$1)="Yes",IF(M$6=OFFSET(Assumptions!$B$8,0,$C$1),AVERAGE(J$174/SUM(J$172:J$174),K$174/SUM(K$172:K$174),L$174/SUM(L$172:L$174)),L$174/SUM(L$172:L$174))*M$13*(SUM(L$172:L$174)/L$13+MIN(ABS(OFFSET(Assumptions!$B$51,0,$C$1)-SUM(L$172:L$174)/L$13),OFFSET(Assumptions!$B$58,0,$C$1))*SIGN(OFFSET(Assumptions!$B$51,0,$C$1)-SUM(L$172:L$174)/L$13)),L$174*(1+Exogenous!$P$41*Population!T$209+Exogenous!$P$42*Population!T$211+Exogenous!$P$43*Population!T$214+Exogenous!$P$44*Population!T$217+Exogenous!$P$45*Population!T$218+Exogenous!$P$46*Population!T$223)*(1+M$30))</f>
        <v>1.1848744070085453</v>
      </c>
      <c r="N174" s="6">
        <f ca="1">IF(OFFSET(Assumptions!$B$50,0,$C$1)="Yes",IF(N$6=OFFSET(Assumptions!$B$8,0,$C$1),AVERAGE(K$174/SUM(K$172:K$174),L$174/SUM(L$172:L$174),M$174/SUM(M$172:M$174)),M$174/SUM(M$172:M$174))*N$13*(SUM(M$172:M$174)/M$13+MIN(ABS(OFFSET(Assumptions!$B$51,0,$C$1)-SUM(M$172:M$174)/M$13),OFFSET(Assumptions!$B$58,0,$C$1))*SIGN(OFFSET(Assumptions!$B$51,0,$C$1)-SUM(M$172:M$174)/M$13)),M$174*(1+Exogenous!$P$41*Population!U$209+Exogenous!$P$42*Population!U$211+Exogenous!$P$43*Population!U$214+Exogenous!$P$44*Population!U$217+Exogenous!$P$45*Population!U$218+Exogenous!$P$46*Population!U$223)*(1+N$30))</f>
        <v>1.2092636932270204</v>
      </c>
      <c r="O174" s="6">
        <f ca="1">IF(OFFSET(Assumptions!$B$50,0,$C$1)="Yes",IF(O$6=OFFSET(Assumptions!$B$8,0,$C$1),AVERAGE(L$174/SUM(L$172:L$174),M$174/SUM(M$172:M$174),N$174/SUM(N$172:N$174)),N$174/SUM(N$172:N$174))*O$13*(SUM(N$172:N$174)/N$13+MIN(ABS(OFFSET(Assumptions!$B$51,0,$C$1)-SUM(N$172:N$174)/N$13),OFFSET(Assumptions!$B$58,0,$C$1))*SIGN(OFFSET(Assumptions!$B$51,0,$C$1)-SUM(N$172:N$174)/N$13)),N$174*(1+Exogenous!$P$41*Population!V$209+Exogenous!$P$42*Population!V$211+Exogenous!$P$43*Population!V$214+Exogenous!$P$44*Population!V$217+Exogenous!$P$45*Population!V$218+Exogenous!$P$46*Population!V$223)*(1+O$30))</f>
        <v>1.2356630021847852</v>
      </c>
      <c r="P174" s="6">
        <f ca="1">IF(OFFSET(Assumptions!$B$50,0,$C$1)="Yes",IF(P$6=OFFSET(Assumptions!$B$8,0,$C$1),AVERAGE(M$174/SUM(M$172:M$174),N$174/SUM(N$172:N$174),O$174/SUM(O$172:O$174)),O$174/SUM(O$172:O$174))*P$13*(SUM(O$172:O$174)/O$13+MIN(ABS(OFFSET(Assumptions!$B$51,0,$C$1)-SUM(O$172:O$174)/O$13),OFFSET(Assumptions!$B$58,0,$C$1))*SIGN(OFFSET(Assumptions!$B$51,0,$C$1)-SUM(O$172:O$174)/O$13)),O$174*(1+Exogenous!$P$41*Population!W$209+Exogenous!$P$42*Population!W$211+Exogenous!$P$43*Population!W$214+Exogenous!$P$44*Population!W$217+Exogenous!$P$45*Population!W$218+Exogenous!$P$46*Population!W$223)*(1+P$30))</f>
        <v>1.2635318543122784</v>
      </c>
      <c r="Q174" s="6">
        <f ca="1">IF(OFFSET(Assumptions!$B$50,0,$C$1)="Yes",IF(Q$6=OFFSET(Assumptions!$B$8,0,$C$1),AVERAGE(N$174/SUM(N$172:N$174),O$174/SUM(O$172:O$174),P$174/SUM(P$172:P$174)),P$174/SUM(P$172:P$174))*Q$13*(SUM(P$172:P$174)/P$13+MIN(ABS(OFFSET(Assumptions!$B$51,0,$C$1)-SUM(P$172:P$174)/P$13),OFFSET(Assumptions!$B$58,0,$C$1))*SIGN(OFFSET(Assumptions!$B$51,0,$C$1)-SUM(P$172:P$174)/P$13)),P$174*(1+Exogenous!$P$41*Population!X$209+Exogenous!$P$42*Population!X$211+Exogenous!$P$43*Population!X$214+Exogenous!$P$44*Population!X$217+Exogenous!$P$45*Population!X$218+Exogenous!$P$46*Population!X$223)*(1+Q$30))</f>
        <v>1.2943653140546127</v>
      </c>
      <c r="R174" s="6">
        <f ca="1">IF(OFFSET(Assumptions!$B$50,0,$C$1)="Yes",IF(R$6=OFFSET(Assumptions!$B$8,0,$C$1),AVERAGE(O$174/SUM(O$172:O$174),P$174/SUM(P$172:P$174),Q$174/SUM(Q$172:Q$174)),Q$174/SUM(Q$172:Q$174))*R$13*(SUM(Q$172:Q$174)/Q$13+MIN(ABS(OFFSET(Assumptions!$B$51,0,$C$1)-SUM(Q$172:Q$174)/Q$13),OFFSET(Assumptions!$B$58,0,$C$1))*SIGN(OFFSET(Assumptions!$B$51,0,$C$1)-SUM(Q$172:Q$174)/Q$13)),Q$174*(1+Exogenous!$P$41*Population!Y$209+Exogenous!$P$42*Population!Y$211+Exogenous!$P$43*Population!Y$214+Exogenous!$P$44*Population!Y$217+Exogenous!$P$45*Population!Y$218+Exogenous!$P$46*Population!Y$223)*(1+R$30))</f>
        <v>1.3255655942906552</v>
      </c>
      <c r="S174" s="6">
        <f ca="1">IF(OFFSET(Assumptions!$B$50,0,$C$1)="Yes",IF(S$6=OFFSET(Assumptions!$B$8,0,$C$1),AVERAGE(P$174/SUM(P$172:P$174),Q$174/SUM(Q$172:Q$174),R$174/SUM(R$172:R$174)),R$174/SUM(R$172:R$174))*S$13*(SUM(R$172:R$174)/R$13+MIN(ABS(OFFSET(Assumptions!$B$51,0,$C$1)-SUM(R$172:R$174)/R$13),OFFSET(Assumptions!$B$58,0,$C$1))*SIGN(OFFSET(Assumptions!$B$51,0,$C$1)-SUM(R$172:R$174)/R$13)),R$174*(1+Exogenous!$P$41*Population!Z$209+Exogenous!$P$42*Population!Z$211+Exogenous!$P$43*Population!Z$214+Exogenous!$P$44*Population!Z$217+Exogenous!$P$45*Population!Z$218+Exogenous!$P$46*Population!Z$223)*(1+S$30))</f>
        <v>1.3572943616526651</v>
      </c>
      <c r="T174" s="6">
        <f ca="1">IF(OFFSET(Assumptions!$B$50,0,$C$1)="Yes",IF(T$6=OFFSET(Assumptions!$B$8,0,$C$1),AVERAGE(Q$174/SUM(Q$172:Q$174),R$174/SUM(R$172:R$174),S$174/SUM(S$172:S$174)),S$174/SUM(S$172:S$174))*T$13*(SUM(S$172:S$174)/S$13+MIN(ABS(OFFSET(Assumptions!$B$51,0,$C$1)-SUM(S$172:S$174)/S$13),OFFSET(Assumptions!$B$58,0,$C$1))*SIGN(OFFSET(Assumptions!$B$51,0,$C$1)-SUM(S$172:S$174)/S$13)),S$174*(1+Exogenous!$P$41*Population!AA$209+Exogenous!$P$42*Population!AA$211+Exogenous!$P$43*Population!AA$214+Exogenous!$P$44*Population!AA$217+Exogenous!$P$45*Population!AA$218+Exogenous!$P$46*Population!AA$223)*(1+T$30))</f>
        <v>1.3887482176977985</v>
      </c>
      <c r="U174" s="6">
        <f ca="1">IF(OFFSET(Assumptions!$B$50,0,$C$1)="Yes",IF(U$6=OFFSET(Assumptions!$B$8,0,$C$1),AVERAGE(R$174/SUM(R$172:R$174),S$174/SUM(S$172:S$174),T$174/SUM(T$172:T$174)),T$174/SUM(T$172:T$174))*U$13*(SUM(T$172:T$174)/T$13+MIN(ABS(OFFSET(Assumptions!$B$51,0,$C$1)-SUM(T$172:T$174)/T$13),OFFSET(Assumptions!$B$58,0,$C$1))*SIGN(OFFSET(Assumptions!$B$51,0,$C$1)-SUM(T$172:T$174)/T$13)),T$174*(1+Exogenous!$P$41*Population!AB$209+Exogenous!$P$42*Population!AB$211+Exogenous!$P$43*Population!AB$214+Exogenous!$P$44*Population!AB$217+Exogenous!$P$45*Population!AB$218+Exogenous!$P$46*Population!AB$223)*(1+U$30))</f>
        <v>1.420408318406394</v>
      </c>
    </row>
    <row r="175" spans="1:21" x14ac:dyDescent="0.2">
      <c r="A175" s="1" t="s">
        <v>468</v>
      </c>
      <c r="B175" s="4" t="str">
        <f t="shared" si="107"/>
        <v>From Fiscal</v>
      </c>
      <c r="D175" s="14">
        <f>'Fiscal Forecasts'!D$231</f>
        <v>2.403</v>
      </c>
      <c r="E175" s="14">
        <f>'Fiscal Forecasts'!E$231</f>
        <v>2.3519999999999999</v>
      </c>
      <c r="F175" s="14">
        <f>'Fiscal Forecasts'!F$231</f>
        <v>2.319</v>
      </c>
      <c r="G175" s="15">
        <f>'Fiscal Forecasts'!G$231</f>
        <v>2.2709999999999999</v>
      </c>
      <c r="H175" s="15">
        <f>'Fiscal Forecasts'!H$231</f>
        <v>3.1880000000000002</v>
      </c>
      <c r="I175" s="15">
        <f>'Fiscal Forecasts'!I$231</f>
        <v>3.1030000000000002</v>
      </c>
      <c r="J175" s="15">
        <f>'Fiscal Forecasts'!J$231</f>
        <v>3.069</v>
      </c>
      <c r="K175" s="15">
        <f>'Fiscal Forecasts'!K$231</f>
        <v>3.0739999999999998</v>
      </c>
      <c r="L175" s="6">
        <f ca="1">IF(OFFSET(Assumptions!$B$55,0,$C$1)="Yes",L$13*(K$175/K$13+MIN(ABS(OFFSET(Assumptions!$B$56,0,$C$1)-K$175/K$13),OFFSET(Assumptions!$B$58,0,$C$1))*SIGN(OFFSET(Assumptions!$B$56,0,$C$1)-K$175/K$13)),K$175*(1+L$20)*(1+L$30))</f>
        <v>3.1706076302075155</v>
      </c>
      <c r="M175" s="6">
        <f ca="1">IF(OFFSET(Assumptions!$B$55,0,$C$1)="Yes",M$13*(L$175/L$13+MIN(ABS(OFFSET(Assumptions!$B$56,0,$C$1)-L$175/L$13),OFFSET(Assumptions!$B$58,0,$C$1))*SIGN(OFFSET(Assumptions!$B$56,0,$C$1)-L$175/L$13)),L$175*(1+M$20)*(1+M$30))</f>
        <v>3.2693863445388591</v>
      </c>
      <c r="N175" s="6">
        <f ca="1">IF(OFFSET(Assumptions!$B$55,0,$C$1)="Yes",N$13*(M$175/M$13+MIN(ABS(OFFSET(Assumptions!$B$56,0,$C$1)-M$175/M$13),OFFSET(Assumptions!$B$58,0,$C$1))*SIGN(OFFSET(Assumptions!$B$56,0,$C$1)-M$175/M$13)),M$175*(1+N$20)*(1+N$30))</f>
        <v>3.3713523841312796</v>
      </c>
      <c r="O175" s="6">
        <f ca="1">IF(OFFSET(Assumptions!$B$55,0,$C$1)="Yes",O$13*(N$175/N$13+MIN(ABS(OFFSET(Assumptions!$B$56,0,$C$1)-N$175/N$13),OFFSET(Assumptions!$B$58,0,$C$1))*SIGN(OFFSET(Assumptions!$B$56,0,$C$1)-N$175/N$13)),N$175*(1+O$20)*(1+O$30))</f>
        <v>3.4747467661055866</v>
      </c>
      <c r="P175" s="6">
        <f ca="1">IF(OFFSET(Assumptions!$B$55,0,$C$1)="Yes",P$13*(O$175/O$13+MIN(ABS(OFFSET(Assumptions!$B$56,0,$C$1)-O$175/O$13),OFFSET(Assumptions!$B$58,0,$C$1))*SIGN(OFFSET(Assumptions!$B$56,0,$C$1)-O$175/O$13)),O$175*(1+P$20)*(1+P$30))</f>
        <v>3.5795343869277492</v>
      </c>
      <c r="Q175" s="6">
        <f ca="1">IF(OFFSET(Assumptions!$B$55,0,$C$1)="Yes",Q$13*(P$175/P$13+MIN(ABS(OFFSET(Assumptions!$B$56,0,$C$1)-P$175/P$13),OFFSET(Assumptions!$B$58,0,$C$1))*SIGN(OFFSET(Assumptions!$B$56,0,$C$1)-P$175/P$13)),P$175*(1+Q$20)*(1+Q$30))</f>
        <v>3.6860781172682571</v>
      </c>
      <c r="R175" s="6">
        <f ca="1">IF(OFFSET(Assumptions!$B$55,0,$C$1)="Yes",R$13*(Q$175/Q$13+MIN(ABS(OFFSET(Assumptions!$B$56,0,$C$1)-Q$175/Q$13),OFFSET(Assumptions!$B$58,0,$C$1))*SIGN(OFFSET(Assumptions!$B$56,0,$C$1)-Q$175/Q$13)),Q$175*(1+R$20)*(1+R$30))</f>
        <v>3.7933957512579921</v>
      </c>
      <c r="S175" s="6">
        <f ca="1">IF(OFFSET(Assumptions!$B$55,0,$C$1)="Yes",S$13*(R$175/R$13+MIN(ABS(OFFSET(Assumptions!$B$56,0,$C$1)-R$175/R$13),OFFSET(Assumptions!$B$58,0,$C$1))*SIGN(OFFSET(Assumptions!$B$56,0,$C$1)-R$175/R$13)),R$175*(1+S$20)*(1+S$30))</f>
        <v>3.9026266641140825</v>
      </c>
      <c r="T175" s="6">
        <f ca="1">IF(OFFSET(Assumptions!$B$55,0,$C$1)="Yes",T$13*(S$175/S$13+MIN(ABS(OFFSET(Assumptions!$B$56,0,$C$1)-S$175/S$13),OFFSET(Assumptions!$B$58,0,$C$1))*SIGN(OFFSET(Assumptions!$B$56,0,$C$1)-S$175/S$13)),S$175*(1+T$20)*(1+T$30))</f>
        <v>4.0139372505862303</v>
      </c>
      <c r="U175" s="6">
        <f ca="1">IF(OFFSET(Assumptions!$B$55,0,$C$1)="Yes",U$13*(T$175/T$13+MIN(ABS(OFFSET(Assumptions!$B$56,0,$C$1)-T$175/T$13),OFFSET(Assumptions!$B$58,0,$C$1))*SIGN(OFFSET(Assumptions!$B$56,0,$C$1)-T$175/T$13)),T$175*(1+U$20)*(1+U$30))</f>
        <v>4.1280758358191196</v>
      </c>
    </row>
    <row r="176" spans="1:21" x14ac:dyDescent="0.2">
      <c r="A176" s="1" t="s">
        <v>470</v>
      </c>
      <c r="B176" s="4" t="str">
        <f t="shared" si="107"/>
        <v>From Fiscal</v>
      </c>
      <c r="D176" s="14">
        <f>'Fiscal Forecasts'!D$232</f>
        <v>3.464</v>
      </c>
      <c r="E176" s="14">
        <f>'Fiscal Forecasts'!E$232</f>
        <v>3.6280000000000001</v>
      </c>
      <c r="F176" s="14">
        <f>'Fiscal Forecasts'!F$232</f>
        <v>3.7850000000000001</v>
      </c>
      <c r="G176" s="15">
        <f>'Fiscal Forecasts'!G$232</f>
        <v>4.09</v>
      </c>
      <c r="H176" s="15">
        <f>'Fiscal Forecasts'!H$232</f>
        <v>5.05</v>
      </c>
      <c r="I176" s="15">
        <f>'Fiscal Forecasts'!I$232</f>
        <v>5.29</v>
      </c>
      <c r="J176" s="15">
        <f>'Fiscal Forecasts'!J$232</f>
        <v>5.609</v>
      </c>
      <c r="K176" s="15">
        <f>'Fiscal Forecasts'!K$232</f>
        <v>5.8760000000000003</v>
      </c>
      <c r="L176" s="6">
        <f ca="1">IF(OFFSET(Assumptions!$B$55,0,$C$1)="Yes",L$13*(K$176/K$13+MIN(ABS(OFFSET(Assumptions!$B$57,0,$C$1)-K$176/K$13),OFFSET(Assumptions!$B$58,0,$C$1))*SIGN(OFFSET(Assumptions!$B$57,0,$C$1)-K$176/K$13)),K$176*(1+L$20)*(1+L$30))</f>
        <v>6.0606670250811199</v>
      </c>
      <c r="M176" s="6">
        <f ca="1">IF(OFFSET(Assumptions!$B$55,0,$C$1)="Yes",M$13*(L$176/L$13+MIN(ABS(OFFSET(Assumptions!$B$57,0,$C$1)-L$176/L$13),OFFSET(Assumptions!$B$58,0,$C$1))*SIGN(OFFSET(Assumptions!$B$57,0,$C$1)-L$176/L$13)),L$176*(1+M$20)*(1+M$30))</f>
        <v>6.2494841120723281</v>
      </c>
      <c r="N176" s="6">
        <f ca="1">IF(OFFSET(Assumptions!$B$55,0,$C$1)="Yes",N$13*(M$176/M$13+MIN(ABS(OFFSET(Assumptions!$B$57,0,$C$1)-M$176/M$13),OFFSET(Assumptions!$B$58,0,$C$1))*SIGN(OFFSET(Assumptions!$B$57,0,$C$1)-M$176/M$13)),M$176*(1+N$20)*(1+N$30))</f>
        <v>6.4443938221065062</v>
      </c>
      <c r="O176" s="6">
        <f ca="1">IF(OFFSET(Assumptions!$B$55,0,$C$1)="Yes",O$13*(N$176/N$13+MIN(ABS(OFFSET(Assumptions!$B$57,0,$C$1)-N$176/N$13),OFFSET(Assumptions!$B$58,0,$C$1))*SIGN(OFFSET(Assumptions!$B$57,0,$C$1)-N$176/N$13)),N$176*(1+O$20)*(1+O$30))</f>
        <v>6.6420338313716423</v>
      </c>
      <c r="P176" s="6">
        <f ca="1">IF(OFFSET(Assumptions!$B$55,0,$C$1)="Yes",P$13*(O$176/O$13+MIN(ABS(OFFSET(Assumptions!$B$57,0,$C$1)-O$176/O$13),OFFSET(Assumptions!$B$58,0,$C$1))*SIGN(OFFSET(Assumptions!$B$57,0,$C$1)-O$176/O$13)),O$176*(1+P$20)*(1+P$30))</f>
        <v>6.8423370389028806</v>
      </c>
      <c r="Q176" s="6">
        <f ca="1">IF(OFFSET(Assumptions!$B$55,0,$C$1)="Yes",Q$13*(P$176/P$13+MIN(ABS(OFFSET(Assumptions!$B$57,0,$C$1)-P$176/P$13),OFFSET(Assumptions!$B$58,0,$C$1))*SIGN(OFFSET(Assumptions!$B$57,0,$C$1)-P$176/P$13)),P$176*(1+Q$20)*(1+Q$30))</f>
        <v>7.0459970777710739</v>
      </c>
      <c r="R176" s="6">
        <f ca="1">IF(OFFSET(Assumptions!$B$55,0,$C$1)="Yes",R$13*(Q$176/Q$13+MIN(ABS(OFFSET(Assumptions!$B$57,0,$C$1)-Q$176/Q$13),OFFSET(Assumptions!$B$58,0,$C$1))*SIGN(OFFSET(Assumptions!$B$57,0,$C$1)-Q$176/Q$13)),Q$176*(1+R$20)*(1+R$30))</f>
        <v>7.2511364458008991</v>
      </c>
      <c r="S176" s="6">
        <f ca="1">IF(OFFSET(Assumptions!$B$55,0,$C$1)="Yes",S$13*(R$176/R$13+MIN(ABS(OFFSET(Assumptions!$B$57,0,$C$1)-R$176/R$13),OFFSET(Assumptions!$B$58,0,$C$1))*SIGN(OFFSET(Assumptions!$B$57,0,$C$1)-R$176/R$13)),R$176*(1+S$20)*(1+S$30))</f>
        <v>7.4599330768817014</v>
      </c>
      <c r="T176" s="6">
        <f ca="1">IF(OFFSET(Assumptions!$B$55,0,$C$1)="Yes",T$13*(S$176/S$13+MIN(ABS(OFFSET(Assumptions!$B$57,0,$C$1)-S$176/S$13),OFFSET(Assumptions!$B$58,0,$C$1))*SIGN(OFFSET(Assumptions!$B$57,0,$C$1)-S$176/S$13)),S$176*(1+T$20)*(1+T$30))</f>
        <v>7.6727050372298917</v>
      </c>
      <c r="U176" s="6">
        <f ca="1">IF(OFFSET(Assumptions!$B$55,0,$C$1)="Yes",U$13*(T$176/T$13+MIN(ABS(OFFSET(Assumptions!$B$57,0,$C$1)-T$176/T$13),OFFSET(Assumptions!$B$58,0,$C$1))*SIGN(OFFSET(Assumptions!$B$57,0,$C$1)-T$176/T$13)),T$176*(1+U$20)*(1+U$30))</f>
        <v>7.8908827622879443</v>
      </c>
    </row>
    <row r="177" spans="1:21" ht="15" x14ac:dyDescent="0.25">
      <c r="A177" s="2" t="s">
        <v>472</v>
      </c>
      <c r="B177" s="4"/>
      <c r="D177" s="34">
        <f t="shared" ref="D177:U177" si="108">SUM(D$171:D$176)</f>
        <v>21.842999999999996</v>
      </c>
      <c r="E177" s="34">
        <f t="shared" si="108"/>
        <v>22.593999999999998</v>
      </c>
      <c r="F177" s="34">
        <f t="shared" si="108"/>
        <v>23.535999999999998</v>
      </c>
      <c r="G177" s="33">
        <f t="shared" si="108"/>
        <v>24.406000000000002</v>
      </c>
      <c r="H177" s="33">
        <f t="shared" si="108"/>
        <v>27.128</v>
      </c>
      <c r="I177" s="33">
        <f t="shared" si="108"/>
        <v>28.155999999999999</v>
      </c>
      <c r="J177" s="33">
        <f t="shared" si="108"/>
        <v>29.302</v>
      </c>
      <c r="K177" s="33">
        <f t="shared" si="108"/>
        <v>30.628000000000004</v>
      </c>
      <c r="L177" s="37">
        <f t="shared" ca="1" si="108"/>
        <v>31.968499012974597</v>
      </c>
      <c r="M177" s="37">
        <f t="shared" ca="1" si="108"/>
        <v>33.624670870211986</v>
      </c>
      <c r="N177" s="37">
        <f t="shared" ca="1" si="108"/>
        <v>35.402812821195084</v>
      </c>
      <c r="O177" s="37">
        <f t="shared" ca="1" si="108"/>
        <v>37.299801960812552</v>
      </c>
      <c r="P177" s="37">
        <f t="shared" ca="1" si="108"/>
        <v>39.293391891001434</v>
      </c>
      <c r="Q177" s="37">
        <f t="shared" ca="1" si="108"/>
        <v>41.367337282545279</v>
      </c>
      <c r="R177" s="37">
        <f t="shared" ca="1" si="108"/>
        <v>43.492934568684745</v>
      </c>
      <c r="S177" s="37">
        <f t="shared" ca="1" si="108"/>
        <v>45.638168741715312</v>
      </c>
      <c r="T177" s="37">
        <f t="shared" ca="1" si="108"/>
        <v>47.845963606959934</v>
      </c>
      <c r="U177" s="37">
        <f t="shared" ca="1" si="108"/>
        <v>50.135118569484248</v>
      </c>
    </row>
    <row r="178" spans="1:21" x14ac:dyDescent="0.2">
      <c r="A178" s="1" t="s">
        <v>293</v>
      </c>
      <c r="B178" s="4" t="str">
        <f t="shared" si="107"/>
        <v>From Fiscal</v>
      </c>
      <c r="D178" s="14">
        <f>'Fiscal Forecasts'!D$233</f>
        <v>0.51100000000000001</v>
      </c>
      <c r="E178" s="14">
        <f>'Fiscal Forecasts'!E$233</f>
        <v>0.48599999999999999</v>
      </c>
      <c r="F178" s="14">
        <f>'Fiscal Forecasts'!F$233</f>
        <v>0.46500000000000002</v>
      </c>
      <c r="G178" s="15">
        <f>'Fiscal Forecasts'!G$233</f>
        <v>0.50900000000000001</v>
      </c>
      <c r="H178" s="15">
        <f>'Fiscal Forecasts'!H$233</f>
        <v>0.58099999999999996</v>
      </c>
      <c r="I178" s="15">
        <f>'Fiscal Forecasts'!I$233</f>
        <v>0.59</v>
      </c>
      <c r="J178" s="15">
        <f>'Fiscal Forecasts'!J$233</f>
        <v>0.60799999999999998</v>
      </c>
      <c r="K178" s="15">
        <f>'Fiscal Forecasts'!K$233</f>
        <v>0.626</v>
      </c>
      <c r="L178" s="6">
        <f ca="1">IF(OFFSET(Assumptions!$B$50,0,$C$1)="Yes",L$13*(K$178/K$13+MIN(ABS(OFFSET(Assumptions!$B$52,0,$C$1)-K$178/K$13),OFFSET(Assumptions!$B$58,0,$C$1))*SIGN(OFFSET(Assumptions!$B$52,0,$C$1)-K$178/K$13)),K$178*(1+L$20)*(1+L$30))</f>
        <v>0.64567351220231128</v>
      </c>
      <c r="M178" s="6">
        <f ca="1">IF(OFFSET(Assumptions!$B$50,0,$C$1)="Yes",M$13*(L$178/L$13+MIN(ABS(OFFSET(Assumptions!$B$52,0,$C$1)-L$178/L$13),OFFSET(Assumptions!$B$58,0,$C$1))*SIGN(OFFSET(Assumptions!$B$52,0,$C$1)-L$178/L$13)),L$178*(1+M$20)*(1+M$30))</f>
        <v>0.66578915149034679</v>
      </c>
      <c r="N178" s="6">
        <f ca="1">IF(OFFSET(Assumptions!$B$50,0,$C$1)="Yes",N$13*(M$178/M$13+MIN(ABS(OFFSET(Assumptions!$B$52,0,$C$1)-M$178/M$13),OFFSET(Assumptions!$B$58,0,$C$1))*SIGN(OFFSET(Assumptions!$B$52,0,$C$1)-M$178/M$13)),M$178*(1+N$20)*(1+N$30))</f>
        <v>0.68655386872679935</v>
      </c>
      <c r="O178" s="6">
        <f ca="1">IF(OFFSET(Assumptions!$B$50,0,$C$1)="Yes",O$13*(N$178/N$13+MIN(ABS(OFFSET(Assumptions!$B$52,0,$C$1)-N$178/N$13),OFFSET(Assumptions!$B$58,0,$C$1))*SIGN(OFFSET(Assumptions!$B$52,0,$C$1)-N$178/N$13)),N$178*(1+O$20)*(1+O$30))</f>
        <v>0.70760945854980395</v>
      </c>
      <c r="P178" s="6">
        <f ca="1">IF(OFFSET(Assumptions!$B$50,0,$C$1)="Yes",P$13*(O$178/O$13+MIN(ABS(OFFSET(Assumptions!$B$52,0,$C$1)-O$178/O$13),OFFSET(Assumptions!$B$58,0,$C$1))*SIGN(OFFSET(Assumptions!$B$52,0,$C$1)-O$178/O$13)),O$178*(1+P$20)*(1+P$30))</f>
        <v>0.72894877235418698</v>
      </c>
      <c r="Q178" s="6">
        <f ca="1">IF(OFFSET(Assumptions!$B$50,0,$C$1)="Yes",Q$13*(P$178/P$13+MIN(ABS(OFFSET(Assumptions!$B$52,0,$C$1)-P$178/P$13),OFFSET(Assumptions!$B$58,0,$C$1))*SIGN(OFFSET(Assumptions!$B$52,0,$C$1)-P$178/P$13)),P$178*(1+Q$20)*(1+Q$30))</f>
        <v>0.75064570637928718</v>
      </c>
      <c r="R178" s="6">
        <f ca="1">IF(OFFSET(Assumptions!$B$50,0,$C$1)="Yes",R$13*(Q$178/Q$13+MIN(ABS(OFFSET(Assumptions!$B$52,0,$C$1)-Q$178/Q$13),OFFSET(Assumptions!$B$58,0,$C$1))*SIGN(OFFSET(Assumptions!$B$52,0,$C$1)-Q$178/Q$13)),Q$178*(1+R$20)*(1+R$30))</f>
        <v>0.77250024082221957</v>
      </c>
      <c r="S178" s="6">
        <f ca="1">IF(OFFSET(Assumptions!$B$50,0,$C$1)="Yes",S$13*(R$178/R$13+MIN(ABS(OFFSET(Assumptions!$B$52,0,$C$1)-R$178/R$13),OFFSET(Assumptions!$B$58,0,$C$1))*SIGN(OFFSET(Assumptions!$B$52,0,$C$1)-R$178/R$13)),R$178*(1+S$20)*(1+S$30))</f>
        <v>0.79474440199590624</v>
      </c>
      <c r="T178" s="6">
        <f ca="1">IF(OFFSET(Assumptions!$B$50,0,$C$1)="Yes",T$13*(S$178/S$13+MIN(ABS(OFFSET(Assumptions!$B$52,0,$C$1)-S$178/S$13),OFFSET(Assumptions!$B$58,0,$C$1))*SIGN(OFFSET(Assumptions!$B$52,0,$C$1)-S$178/S$13)),S$178*(1+T$20)*(1+T$30))</f>
        <v>0.81741207510311642</v>
      </c>
      <c r="U178" s="6">
        <f ca="1">IF(OFFSET(Assumptions!$B$50,0,$C$1)="Yes",U$13*(T$178/T$13+MIN(ABS(OFFSET(Assumptions!$B$52,0,$C$1)-T$178/T$13),OFFSET(Assumptions!$B$58,0,$C$1))*SIGN(OFFSET(Assumptions!$B$52,0,$C$1)-T$178/T$13)),T$178*(1+U$20)*(1+U$30))</f>
        <v>0.84065565166648282</v>
      </c>
    </row>
    <row r="179" spans="1:21" ht="15" x14ac:dyDescent="0.25">
      <c r="A179" s="2" t="s">
        <v>473</v>
      </c>
      <c r="D179" s="34">
        <f t="shared" ref="D179:U179" si="109">SUM(D$177:D$178)</f>
        <v>22.353999999999996</v>
      </c>
      <c r="E179" s="34">
        <f t="shared" si="109"/>
        <v>23.08</v>
      </c>
      <c r="F179" s="34">
        <f t="shared" si="109"/>
        <v>24.000999999999998</v>
      </c>
      <c r="G179" s="33">
        <f t="shared" si="109"/>
        <v>24.915000000000003</v>
      </c>
      <c r="H179" s="33">
        <f t="shared" si="109"/>
        <v>27.709</v>
      </c>
      <c r="I179" s="33">
        <f t="shared" si="109"/>
        <v>28.745999999999999</v>
      </c>
      <c r="J179" s="33">
        <f t="shared" si="109"/>
        <v>29.91</v>
      </c>
      <c r="K179" s="33">
        <f t="shared" si="109"/>
        <v>31.254000000000005</v>
      </c>
      <c r="L179" s="37">
        <f t="shared" ca="1" si="109"/>
        <v>32.614172525176912</v>
      </c>
      <c r="M179" s="37">
        <f t="shared" ca="1" si="109"/>
        <v>34.29046002170233</v>
      </c>
      <c r="N179" s="37">
        <f t="shared" ca="1" si="109"/>
        <v>36.089366689921881</v>
      </c>
      <c r="O179" s="37">
        <f t="shared" ca="1" si="109"/>
        <v>38.007411419362356</v>
      </c>
      <c r="P179" s="37">
        <f t="shared" ca="1" si="109"/>
        <v>40.022340663355621</v>
      </c>
      <c r="Q179" s="37">
        <f t="shared" ca="1" si="109"/>
        <v>42.117982988924567</v>
      </c>
      <c r="R179" s="37">
        <f t="shared" ca="1" si="109"/>
        <v>44.265434809506964</v>
      </c>
      <c r="S179" s="37">
        <f t="shared" ca="1" si="109"/>
        <v>46.432913143711218</v>
      </c>
      <c r="T179" s="37">
        <f t="shared" ca="1" si="109"/>
        <v>48.663375682063048</v>
      </c>
      <c r="U179" s="37">
        <f t="shared" ca="1" si="109"/>
        <v>50.975774221150729</v>
      </c>
    </row>
    <row r="180" spans="1:21" x14ac:dyDescent="0.2">
      <c r="A180" s="1" t="s">
        <v>474</v>
      </c>
      <c r="B180" s="4" t="str">
        <f t="shared" si="107"/>
        <v>From Fiscal</v>
      </c>
      <c r="D180" s="14">
        <f>'Fiscal Forecasts'!D$234</f>
        <v>0.85599999999999998</v>
      </c>
      <c r="E180" s="14">
        <f>'Fiscal Forecasts'!E$234</f>
        <v>0.69799999999999995</v>
      </c>
      <c r="F180" s="14">
        <f>'Fiscal Forecasts'!F$234</f>
        <v>0.74299999999999999</v>
      </c>
      <c r="G180" s="15">
        <f>'Fiscal Forecasts'!G$234</f>
        <v>0.83</v>
      </c>
      <c r="H180" s="15">
        <f>'Fiscal Forecasts'!H$234</f>
        <v>0.86</v>
      </c>
      <c r="I180" s="15">
        <f>'Fiscal Forecasts'!I$234</f>
        <v>0.90100000000000002</v>
      </c>
      <c r="J180" s="15">
        <f>'Fiscal Forecasts'!J$234</f>
        <v>0.94299999999999995</v>
      </c>
      <c r="K180" s="15">
        <f>'Fiscal Forecasts'!K$234</f>
        <v>0.98199999999999998</v>
      </c>
      <c r="L180" s="6">
        <f ca="1">IF(L$6&lt;=OFFSET(Assumptions!$B$60,0,$C$1),Exogenous!S$36,K$180*(1+L$14))</f>
        <v>1.0169999999999999</v>
      </c>
      <c r="M180" s="6">
        <f ca="1">IF(M$6&lt;=OFFSET(Assumptions!$B$60,0,$C$1),Exogenous!T$36,L$180*(1+M$14))</f>
        <v>1.052</v>
      </c>
      <c r="N180" s="6">
        <f ca="1">IF(N$6&lt;=OFFSET(Assumptions!$B$60,0,$C$1),Exogenous!U$36,M$180*(1+N$14))</f>
        <v>1.085</v>
      </c>
      <c r="O180" s="6">
        <f ca="1">IF(O$6&lt;=OFFSET(Assumptions!$B$60,0,$C$1),Exogenous!V$36,N$180*(1+O$14))</f>
        <v>1.1180000000000001</v>
      </c>
      <c r="P180" s="6">
        <f ca="1">IF(P$6&lt;=OFFSET(Assumptions!$B$60,0,$C$1),Exogenous!W$36,O$180*(1+P$14))</f>
        <v>1.147</v>
      </c>
      <c r="Q180" s="6">
        <f ca="1">IF(Q$6&lt;=OFFSET(Assumptions!$B$60,0,$C$1),Exogenous!X$36,P$180*(1+Q$14))</f>
        <v>1.1739999999999999</v>
      </c>
      <c r="R180" s="6">
        <f ca="1">IF(R$6&lt;=OFFSET(Assumptions!$B$60,0,$C$1),Exogenous!Y$36,Q$180*(1+R$14))</f>
        <v>1.198</v>
      </c>
      <c r="S180" s="6">
        <f ca="1">IF(S$6&lt;=OFFSET(Assumptions!$B$60,0,$C$1),Exogenous!Z$36,R$180*(1+S$14))</f>
        <v>1.2210000000000001</v>
      </c>
      <c r="T180" s="6">
        <f ca="1">IF(T$6&lt;=OFFSET(Assumptions!$B$60,0,$C$1),Exogenous!AA$36,S$180*(1+T$14))</f>
        <v>1.244</v>
      </c>
      <c r="U180" s="6">
        <f ca="1">IF(U$6&lt;=OFFSET(Assumptions!$B$60,0,$C$1),Exogenous!AB$36,T$180*(1+U$14))</f>
        <v>1.266</v>
      </c>
    </row>
    <row r="181" spans="1:21" x14ac:dyDescent="0.2">
      <c r="A181" s="1" t="s">
        <v>296</v>
      </c>
      <c r="B181" s="4" t="str">
        <f t="shared" si="107"/>
        <v>From Fiscal</v>
      </c>
      <c r="D181" s="14">
        <f>'Fiscal Forecasts'!D$235</f>
        <v>0.51300000000000001</v>
      </c>
      <c r="E181" s="14">
        <f>'Fiscal Forecasts'!E$235</f>
        <v>0.53400000000000003</v>
      </c>
      <c r="F181" s="14">
        <f>'Fiscal Forecasts'!F$235</f>
        <v>0.52</v>
      </c>
      <c r="G181" s="15">
        <f>'Fiscal Forecasts'!G$235</f>
        <v>0.64700000000000002</v>
      </c>
      <c r="H181" s="15">
        <f>'Fiscal Forecasts'!H$235</f>
        <v>0.69299999999999995</v>
      </c>
      <c r="I181" s="15">
        <f>'Fiscal Forecasts'!I$235</f>
        <v>0.73</v>
      </c>
      <c r="J181" s="15">
        <f>'Fiscal Forecasts'!J$235</f>
        <v>0.76400000000000001</v>
      </c>
      <c r="K181" s="15">
        <f>'Fiscal Forecasts'!K$235</f>
        <v>0.79800000000000004</v>
      </c>
      <c r="L181" s="6">
        <f ca="1">(K$181/K$13+MIN(ABS(OFFSET(Assumptions!$B$61,0,$C$1)-K$181/K$13),OFFSET(Assumptions!$B$58,0,$C$1))*SIGN(OFFSET(Assumptions!$B$61,0,$C$1)-K$181/K$13))*L$13</f>
        <v>0.73239262588353926</v>
      </c>
      <c r="M181" s="6">
        <f ca="1">(L$181/L$13+MIN(ABS(OFFSET(Assumptions!$B$61,0,$C$1)-L$181/L$13),OFFSET(Assumptions!$B$58,0,$C$1))*SIGN(OFFSET(Assumptions!$B$61,0,$C$1)-L$181/L$13))*M$13</f>
        <v>0.76578675141379471</v>
      </c>
      <c r="N181" s="6">
        <f ca="1">(M$181/M$13+MIN(ABS(OFFSET(Assumptions!$B$61,0,$C$1)-M$181/M$13),OFFSET(Assumptions!$B$58,0,$C$1))*SIGN(OFFSET(Assumptions!$B$61,0,$C$1)-M$181/M$13))*N$13</f>
        <v>0.79990891436539968</v>
      </c>
      <c r="O181" s="6">
        <f ca="1">(N$181/N$13+MIN(ABS(OFFSET(Assumptions!$B$61,0,$C$1)-N$181/N$13),OFFSET(Assumptions!$B$58,0,$C$1))*SIGN(OFFSET(Assumptions!$B$61,0,$C$1)-N$181/N$13))*O$13</f>
        <v>0.8349048070082582</v>
      </c>
      <c r="P181" s="6">
        <f ca="1">(O$181/O$13+MIN(ABS(OFFSET(Assumptions!$B$61,0,$C$1)-O$181/O$13),OFFSET(Assumptions!$B$58,0,$C$1))*SIGN(OFFSET(Assumptions!$B$61,0,$C$1)-O$181/O$13))*P$13</f>
        <v>0.87108909066176188</v>
      </c>
      <c r="Q181" s="6">
        <f ca="1">(P$181/P$13+MIN(ABS(OFFSET(Assumptions!$B$61,0,$C$1)-P$181/P$13),OFFSET(Assumptions!$B$58,0,$C$1))*SIGN(OFFSET(Assumptions!$B$61,0,$C$1)-P$181/P$13))*Q$13</f>
        <v>0.90851940800276665</v>
      </c>
      <c r="R181" s="6">
        <f ca="1">(Q$181/Q$13+MIN(ABS(OFFSET(Assumptions!$B$61,0,$C$1)-Q$181/Q$13),OFFSET(Assumptions!$B$58,0,$C$1))*SIGN(OFFSET(Assumptions!$B$61,0,$C$1)-Q$181/Q$13))*R$13</f>
        <v>0.94713135391911396</v>
      </c>
      <c r="S181" s="6">
        <f ca="1">(R$181/R$13+MIN(ABS(OFFSET(Assumptions!$B$61,0,$C$1)-R$181/R$13),OFFSET(Assumptions!$B$58,0,$C$1))*SIGN(OFFSET(Assumptions!$B$61,0,$C$1)-R$181/R$13))*S$13</f>
        <v>0.98703992574919575</v>
      </c>
      <c r="T181" s="6">
        <f ca="1">(S$181/S$13+MIN(ABS(OFFSET(Assumptions!$B$61,0,$C$1)-S$181/S$13),OFFSET(Assumptions!$B$58,0,$C$1))*SIGN(OFFSET(Assumptions!$B$61,0,$C$1)-S$181/S$13))*T$13</f>
        <v>1.0282814394581155</v>
      </c>
      <c r="U181" s="6">
        <f ca="1">(T$181/T$13+MIN(ABS(OFFSET(Assumptions!$B$61,0,$C$1)-T$181/T$13),OFFSET(Assumptions!$B$58,0,$C$1))*SIGN(OFFSET(Assumptions!$B$61,0,$C$1)-T$181/T$13))*U$13</f>
        <v>1.0709805657224649</v>
      </c>
    </row>
    <row r="182" spans="1:21" ht="15" x14ac:dyDescent="0.25">
      <c r="A182" s="2" t="s">
        <v>475</v>
      </c>
      <c r="D182" s="34">
        <f t="shared" ref="D182:U182" si="110">SUM(D$179:D$181)</f>
        <v>23.722999999999999</v>
      </c>
      <c r="E182" s="34">
        <f t="shared" si="110"/>
        <v>24.311999999999998</v>
      </c>
      <c r="F182" s="34">
        <f t="shared" si="110"/>
        <v>25.263999999999996</v>
      </c>
      <c r="G182" s="33">
        <f t="shared" si="110"/>
        <v>26.391999999999999</v>
      </c>
      <c r="H182" s="33">
        <f t="shared" si="110"/>
        <v>29.262</v>
      </c>
      <c r="I182" s="33">
        <f t="shared" si="110"/>
        <v>30.376999999999999</v>
      </c>
      <c r="J182" s="33">
        <f t="shared" si="110"/>
        <v>31.617000000000001</v>
      </c>
      <c r="K182" s="33">
        <f t="shared" si="110"/>
        <v>33.034000000000006</v>
      </c>
      <c r="L182" s="37">
        <f t="shared" ca="1" si="110"/>
        <v>34.363565151060456</v>
      </c>
      <c r="M182" s="37">
        <f t="shared" ca="1" si="110"/>
        <v>36.108246773116122</v>
      </c>
      <c r="N182" s="37">
        <f t="shared" ca="1" si="110"/>
        <v>37.974275604287286</v>
      </c>
      <c r="O182" s="37">
        <f t="shared" ca="1" si="110"/>
        <v>39.960316226370615</v>
      </c>
      <c r="P182" s="37">
        <f t="shared" ca="1" si="110"/>
        <v>42.040429754017381</v>
      </c>
      <c r="Q182" s="37">
        <f t="shared" ca="1" si="110"/>
        <v>44.200502396927334</v>
      </c>
      <c r="R182" s="37">
        <f t="shared" ca="1" si="110"/>
        <v>46.410566163426076</v>
      </c>
      <c r="S182" s="37">
        <f t="shared" ca="1" si="110"/>
        <v>48.640953069460416</v>
      </c>
      <c r="T182" s="37">
        <f t="shared" ca="1" si="110"/>
        <v>50.93565712152116</v>
      </c>
      <c r="U182" s="37">
        <f t="shared" ca="1" si="110"/>
        <v>53.312754786873192</v>
      </c>
    </row>
    <row r="183" spans="1:21" ht="15" x14ac:dyDescent="0.25">
      <c r="A183" s="2" t="s">
        <v>477</v>
      </c>
      <c r="B183" s="4" t="str">
        <f t="shared" si="107"/>
        <v>From Fiscal</v>
      </c>
      <c r="D183" s="39">
        <f>'Fiscal Forecasts'!D$156</f>
        <v>23.722999999999999</v>
      </c>
      <c r="E183" s="39">
        <f>'Fiscal Forecasts'!E$156</f>
        <v>24.312000000000001</v>
      </c>
      <c r="F183" s="39">
        <f>'Fiscal Forecasts'!F$156</f>
        <v>25.263999999999999</v>
      </c>
      <c r="G183" s="38">
        <f>'Fiscal Forecasts'!G$156</f>
        <v>26.391999999999999</v>
      </c>
      <c r="H183" s="38">
        <f>'Fiscal Forecasts'!H$156</f>
        <v>29.262</v>
      </c>
      <c r="I183" s="38">
        <f>'Fiscal Forecasts'!I$156</f>
        <v>30.376999999999999</v>
      </c>
      <c r="J183" s="38">
        <f>'Fiscal Forecasts'!J$156</f>
        <v>31.617000000000001</v>
      </c>
      <c r="K183" s="38">
        <f>'Fiscal Forecasts'!K$156</f>
        <v>33.033999999999999</v>
      </c>
      <c r="L183" s="7">
        <f t="shared" ref="L183:U183" ca="1" si="111">L$182</f>
        <v>34.363565151060456</v>
      </c>
      <c r="M183" s="7">
        <f t="shared" ca="1" si="111"/>
        <v>36.108246773116122</v>
      </c>
      <c r="N183" s="7">
        <f t="shared" ca="1" si="111"/>
        <v>37.974275604287286</v>
      </c>
      <c r="O183" s="7">
        <f t="shared" ca="1" si="111"/>
        <v>39.960316226370615</v>
      </c>
      <c r="P183" s="7">
        <f t="shared" ca="1" si="111"/>
        <v>42.040429754017381</v>
      </c>
      <c r="Q183" s="7">
        <f t="shared" ca="1" si="111"/>
        <v>44.200502396927334</v>
      </c>
      <c r="R183" s="7">
        <f t="shared" ca="1" si="111"/>
        <v>46.410566163426076</v>
      </c>
      <c r="S183" s="7">
        <f t="shared" ca="1" si="111"/>
        <v>48.640953069460416</v>
      </c>
      <c r="T183" s="7">
        <f t="shared" ca="1" si="111"/>
        <v>50.93565712152116</v>
      </c>
      <c r="U183" s="7">
        <f t="shared" ca="1" si="111"/>
        <v>53.312754786873192</v>
      </c>
    </row>
    <row r="184" spans="1:21" x14ac:dyDescent="0.2">
      <c r="A184" s="1" t="s">
        <v>478</v>
      </c>
      <c r="B184" s="4" t="str">
        <f t="shared" si="107"/>
        <v>From Fiscal</v>
      </c>
      <c r="D184" s="14">
        <f>'Fiscal Forecasts'!D$52-D$177</f>
        <v>1.6800000000000033</v>
      </c>
      <c r="E184" s="14">
        <f>'Fiscal Forecasts'!E$52-E$177</f>
        <v>1.4870000000000019</v>
      </c>
      <c r="F184" s="14">
        <f>'Fiscal Forecasts'!F$52-F$177</f>
        <v>1.7580000000000027</v>
      </c>
      <c r="G184" s="15">
        <f>'Fiscal Forecasts'!G$52-G$177</f>
        <v>1.7039999999999971</v>
      </c>
      <c r="H184" s="15">
        <f>'Fiscal Forecasts'!H$52-H$177</f>
        <v>1.8210000000000015</v>
      </c>
      <c r="I184" s="15">
        <f>'Fiscal Forecasts'!I$52-I$177</f>
        <v>1.843</v>
      </c>
      <c r="J184" s="15">
        <f>'Fiscal Forecasts'!J$52-J$177</f>
        <v>1.8670000000000009</v>
      </c>
      <c r="K184" s="15">
        <f>'Fiscal Forecasts'!K$52-K$177</f>
        <v>1.8639999999999937</v>
      </c>
      <c r="L184" s="6">
        <f>K$184</f>
        <v>1.8639999999999937</v>
      </c>
      <c r="M184" s="6">
        <f t="shared" ref="M184:U184" si="112">L$184</f>
        <v>1.8639999999999937</v>
      </c>
      <c r="N184" s="6">
        <f t="shared" si="112"/>
        <v>1.8639999999999937</v>
      </c>
      <c r="O184" s="6">
        <f t="shared" si="112"/>
        <v>1.8639999999999937</v>
      </c>
      <c r="P184" s="6">
        <f t="shared" si="112"/>
        <v>1.8639999999999937</v>
      </c>
      <c r="Q184" s="6">
        <f t="shared" si="112"/>
        <v>1.8639999999999937</v>
      </c>
      <c r="R184" s="6">
        <f t="shared" si="112"/>
        <v>1.8639999999999937</v>
      </c>
      <c r="S184" s="6">
        <f t="shared" si="112"/>
        <v>1.8639999999999937</v>
      </c>
      <c r="T184" s="6">
        <f t="shared" si="112"/>
        <v>1.8639999999999937</v>
      </c>
      <c r="U184" s="6">
        <f t="shared" si="112"/>
        <v>1.8639999999999937</v>
      </c>
    </row>
    <row r="185" spans="1:21" ht="15" x14ac:dyDescent="0.25">
      <c r="A185" s="2" t="s">
        <v>479</v>
      </c>
      <c r="B185" s="4"/>
      <c r="D185" s="39">
        <f t="shared" ref="D185:U185" si="113">SUM(D$177,D$184)</f>
        <v>23.523</v>
      </c>
      <c r="E185" s="39">
        <f t="shared" si="113"/>
        <v>24.081</v>
      </c>
      <c r="F185" s="39">
        <f t="shared" si="113"/>
        <v>25.294</v>
      </c>
      <c r="G185" s="38">
        <f t="shared" si="113"/>
        <v>26.11</v>
      </c>
      <c r="H185" s="38">
        <f t="shared" si="113"/>
        <v>28.949000000000002</v>
      </c>
      <c r="I185" s="38">
        <f t="shared" si="113"/>
        <v>29.998999999999999</v>
      </c>
      <c r="J185" s="38">
        <f t="shared" si="113"/>
        <v>31.169</v>
      </c>
      <c r="K185" s="38">
        <f t="shared" si="113"/>
        <v>32.491999999999997</v>
      </c>
      <c r="L185" s="7">
        <f t="shared" ca="1" si="113"/>
        <v>33.832499012974594</v>
      </c>
      <c r="M185" s="7">
        <f t="shared" ca="1" si="113"/>
        <v>35.488670870211976</v>
      </c>
      <c r="N185" s="7">
        <f t="shared" ca="1" si="113"/>
        <v>37.266812821195074</v>
      </c>
      <c r="O185" s="7">
        <f t="shared" ca="1" si="113"/>
        <v>39.163801960812549</v>
      </c>
      <c r="P185" s="7">
        <f t="shared" ca="1" si="113"/>
        <v>41.157391891001424</v>
      </c>
      <c r="Q185" s="7">
        <f t="shared" ca="1" si="113"/>
        <v>43.231337282545269</v>
      </c>
      <c r="R185" s="7">
        <f t="shared" ca="1" si="113"/>
        <v>45.356934568684736</v>
      </c>
      <c r="S185" s="7">
        <f t="shared" ca="1" si="113"/>
        <v>47.502168741715309</v>
      </c>
      <c r="T185" s="7">
        <f t="shared" ca="1" si="113"/>
        <v>49.709963606959931</v>
      </c>
      <c r="U185" s="7">
        <f t="shared" ca="1" si="113"/>
        <v>51.999118569484239</v>
      </c>
    </row>
    <row r="186" spans="1:21" x14ac:dyDescent="0.2">
      <c r="A186" s="1" t="s">
        <v>480</v>
      </c>
      <c r="B186" s="4" t="str">
        <f t="shared" si="107"/>
        <v>From Fiscal</v>
      </c>
      <c r="D186" s="14">
        <f>'Fiscal Forecasts'!D$192</f>
        <v>5.2460000000000004</v>
      </c>
      <c r="E186" s="14">
        <f>'Fiscal Forecasts'!E$192</f>
        <v>5.36</v>
      </c>
      <c r="F186" s="14">
        <f>'Fiscal Forecasts'!F$192</f>
        <v>5.8520000000000003</v>
      </c>
      <c r="G186" s="15">
        <f>'Fiscal Forecasts'!G$192</f>
        <v>6.0389999999999997</v>
      </c>
      <c r="H186" s="15">
        <f>'Fiscal Forecasts'!H$192</f>
        <v>6.16</v>
      </c>
      <c r="I186" s="15">
        <f>'Fiscal Forecasts'!I$192</f>
        <v>6.6509999999999998</v>
      </c>
      <c r="J186" s="15">
        <f>'Fiscal Forecasts'!J$192</f>
        <v>7.09</v>
      </c>
      <c r="K186" s="15">
        <f>'Fiscal Forecasts'!K$192</f>
        <v>7.5369999999999999</v>
      </c>
      <c r="L186" s="6">
        <f>K$186*Exogenous!S$25/Exogenous!R$25</f>
        <v>7.8689082190750055</v>
      </c>
      <c r="M186" s="6">
        <f>L$186*Exogenous!T$25/Exogenous!S$25</f>
        <v>8.2483007718793111</v>
      </c>
      <c r="N186" s="6">
        <f>M$186*Exogenous!U$25/Exogenous!T$25</f>
        <v>8.5990687928877847</v>
      </c>
      <c r="O186" s="6">
        <f>N$186*Exogenous!V$25/Exogenous!U$25</f>
        <v>8.9638960024314063</v>
      </c>
      <c r="P186" s="6">
        <f>O$186*Exogenous!W$25/Exogenous!V$25</f>
        <v>9.3533828830917702</v>
      </c>
      <c r="Q186" s="6">
        <f>P$186*Exogenous!X$25/Exogenous!W$25</f>
        <v>9.7575657562763141</v>
      </c>
      <c r="R186" s="6">
        <f>Q$186*Exogenous!Y$25/Exogenous!X$25</f>
        <v>10.193676364475269</v>
      </c>
      <c r="S186" s="6">
        <f>R$186*Exogenous!Z$25/Exogenous!Y$25</f>
        <v>10.627949003279785</v>
      </c>
      <c r="T186" s="6">
        <f>S$186*Exogenous!AA$25/Exogenous!Z$25</f>
        <v>11.084955678060171</v>
      </c>
      <c r="U186" s="6">
        <f>T$186*Exogenous!AB$25/Exogenous!AA$25</f>
        <v>11.565771139247534</v>
      </c>
    </row>
    <row r="187" spans="1:21" x14ac:dyDescent="0.2">
      <c r="A187" s="1" t="s">
        <v>481</v>
      </c>
      <c r="B187" s="4" t="str">
        <f t="shared" si="107"/>
        <v>From Fiscal</v>
      </c>
      <c r="D187" s="14">
        <f>'Fiscal Forecasts'!D$35-SUM(D$185:D$186)</f>
        <v>-0.5379999999999967</v>
      </c>
      <c r="E187" s="14">
        <f>'Fiscal Forecasts'!E$35-SUM(E$185:E$186)</f>
        <v>-0.53999999999999915</v>
      </c>
      <c r="F187" s="14">
        <f>'Fiscal Forecasts'!F$35-SUM(F$185:F$186)</f>
        <v>-0.5470000000000006</v>
      </c>
      <c r="G187" s="15">
        <f>'Fiscal Forecasts'!G$35-SUM(G$185:G$186)</f>
        <v>-0.55900000000000105</v>
      </c>
      <c r="H187" s="15">
        <f>'Fiscal Forecasts'!H$35-SUM(H$185:H$186)</f>
        <v>-0.58100000000000307</v>
      </c>
      <c r="I187" s="15">
        <f>'Fiscal Forecasts'!I$35-SUM(I$185:I$186)</f>
        <v>-0.60099999999999909</v>
      </c>
      <c r="J187" s="15">
        <f>'Fiscal Forecasts'!J$35-SUM(J$185:J$186)</f>
        <v>-0.61999999999999744</v>
      </c>
      <c r="K187" s="15">
        <f>'Fiscal Forecasts'!K$35-SUM(K$185:K$186)</f>
        <v>-0.63899999999999579</v>
      </c>
      <c r="L187" s="6">
        <f>K$187*Exogenous!S$26/Exogenous!R$26</f>
        <v>-0.66731609817030801</v>
      </c>
      <c r="M187" s="6">
        <f>L$187*Exogenous!T$26/Exogenous!S$26</f>
        <v>-0.7013416569222346</v>
      </c>
      <c r="N187" s="6">
        <f>M$187*Exogenous!U$26/Exogenous!T$26</f>
        <v>-0.73006670622493863</v>
      </c>
      <c r="O187" s="6">
        <f>N$187*Exogenous!V$26/Exogenous!U$26</f>
        <v>-0.7616971151629911</v>
      </c>
      <c r="P187" s="6">
        <f>O$187*Exogenous!W$26/Exogenous!V$26</f>
        <v>-0.79586681185051</v>
      </c>
      <c r="Q187" s="6">
        <f>P$187*Exogenous!X$26/Exogenous!W$26</f>
        <v>-0.83079610236651646</v>
      </c>
      <c r="R187" s="6">
        <f>Q$187*Exogenous!Y$26/Exogenous!X$26</f>
        <v>-0.87127207076379087</v>
      </c>
      <c r="S187" s="6">
        <f>R$187*Exogenous!Z$26/Exogenous!Y$26</f>
        <v>-0.90743639061071835</v>
      </c>
      <c r="T187" s="6">
        <f>S$187*Exogenous!AA$26/Exogenous!Z$26</f>
        <v>-0.94616766116309281</v>
      </c>
      <c r="U187" s="6">
        <f>T$187*Exogenous!AB$26/Exogenous!AA$26</f>
        <v>-0.98759176440558705</v>
      </c>
    </row>
    <row r="188" spans="1:21" ht="15" x14ac:dyDescent="0.25">
      <c r="A188" s="2" t="s">
        <v>482</v>
      </c>
      <c r="D188" s="34">
        <f t="shared" ref="D188:U188" si="114">SUM(D$185:D$187)</f>
        <v>28.231000000000002</v>
      </c>
      <c r="E188" s="34">
        <f t="shared" si="114"/>
        <v>28.901</v>
      </c>
      <c r="F188" s="34">
        <f t="shared" si="114"/>
        <v>30.599</v>
      </c>
      <c r="G188" s="33">
        <f t="shared" si="114"/>
        <v>31.59</v>
      </c>
      <c r="H188" s="33">
        <f t="shared" si="114"/>
        <v>34.527999999999999</v>
      </c>
      <c r="I188" s="33">
        <f t="shared" si="114"/>
        <v>36.048999999999999</v>
      </c>
      <c r="J188" s="33">
        <f t="shared" si="114"/>
        <v>37.639000000000003</v>
      </c>
      <c r="K188" s="33">
        <f t="shared" si="114"/>
        <v>39.39</v>
      </c>
      <c r="L188" s="37">
        <f t="shared" ca="1" si="114"/>
        <v>41.034091133879286</v>
      </c>
      <c r="M188" s="37">
        <f t="shared" ca="1" si="114"/>
        <v>43.035629985169059</v>
      </c>
      <c r="N188" s="37">
        <f t="shared" ca="1" si="114"/>
        <v>45.13581490785792</v>
      </c>
      <c r="O188" s="37">
        <f t="shared" ca="1" si="114"/>
        <v>47.366000848080965</v>
      </c>
      <c r="P188" s="37">
        <f t="shared" ca="1" si="114"/>
        <v>49.714907962242684</v>
      </c>
      <c r="Q188" s="37">
        <f t="shared" ca="1" si="114"/>
        <v>52.15810693645507</v>
      </c>
      <c r="R188" s="37">
        <f t="shared" ca="1" si="114"/>
        <v>54.679338862396207</v>
      </c>
      <c r="S188" s="37">
        <f t="shared" ca="1" si="114"/>
        <v>57.22268135438437</v>
      </c>
      <c r="T188" s="37">
        <f t="shared" ca="1" si="114"/>
        <v>59.848751623857005</v>
      </c>
      <c r="U188" s="37">
        <f t="shared" ca="1" si="114"/>
        <v>62.577297944326183</v>
      </c>
    </row>
    <row r="189" spans="1:21" x14ac:dyDescent="0.2">
      <c r="A189" s="18" t="s">
        <v>465</v>
      </c>
    </row>
    <row r="190" spans="1:21" x14ac:dyDescent="0.2">
      <c r="A190" s="1" t="s">
        <v>819</v>
      </c>
      <c r="B190" s="4" t="str">
        <f>$B$11</f>
        <v>From Economic</v>
      </c>
      <c r="D190" s="20">
        <f>'Economic Forecasts'!M$18</f>
        <v>1077.5</v>
      </c>
      <c r="E190" s="20">
        <f>'Economic Forecasts'!N$18</f>
        <v>1111.4000000000001</v>
      </c>
      <c r="F190" s="20">
        <f>'Economic Forecasts'!O$18</f>
        <v>1129.72</v>
      </c>
      <c r="G190" s="21">
        <f>'Economic Forecasts'!P$18</f>
        <v>1166.2</v>
      </c>
      <c r="H190" s="21">
        <f>'Economic Forecasts'!Q$18</f>
        <v>1198.77</v>
      </c>
      <c r="I190" s="21">
        <f>'Economic Forecasts'!R$18</f>
        <v>1233.78</v>
      </c>
      <c r="J190" s="21">
        <f>'Economic Forecasts'!S$18</f>
        <v>1272.98</v>
      </c>
      <c r="K190" s="21">
        <f>'Economic Forecasts'!T$18</f>
        <v>1314.69</v>
      </c>
      <c r="L190" s="9">
        <f t="shared" ref="L190:U190" ca="1" si="115">K$190*(1+L$27)</f>
        <v>1359.7575732000003</v>
      </c>
      <c r="M190" s="9">
        <f t="shared" ca="1" si="115"/>
        <v>1407.063539171628</v>
      </c>
      <c r="N190" s="9">
        <f t="shared" ca="1" si="115"/>
        <v>1456.7328821043864</v>
      </c>
      <c r="O190" s="9">
        <f t="shared" ca="1" si="115"/>
        <v>1508.1555528426711</v>
      </c>
      <c r="P190" s="9">
        <f t="shared" ca="1" si="115"/>
        <v>1561.3934438580172</v>
      </c>
      <c r="Q190" s="9">
        <f t="shared" ca="1" si="115"/>
        <v>1616.5106324262051</v>
      </c>
      <c r="R190" s="9">
        <f t="shared" ca="1" si="115"/>
        <v>1673.5734577508499</v>
      </c>
      <c r="S190" s="9">
        <f t="shared" ca="1" si="115"/>
        <v>1732.6506008094548</v>
      </c>
      <c r="T190" s="9">
        <f t="shared" ca="1" si="115"/>
        <v>1793.8131670180283</v>
      </c>
      <c r="U190" s="9">
        <f t="shared" ca="1" si="115"/>
        <v>1857.1347718137645</v>
      </c>
    </row>
    <row r="191" spans="1:21" x14ac:dyDescent="0.2">
      <c r="A191" s="1" t="s">
        <v>463</v>
      </c>
      <c r="B191" s="4" t="str">
        <f>$B$11</f>
        <v>From Economic</v>
      </c>
      <c r="D191" s="20">
        <f>'Economic Forecasts'!M$19</f>
        <v>873.01</v>
      </c>
      <c r="E191" s="20">
        <f>'Economic Forecasts'!N$19</f>
        <v>896.89</v>
      </c>
      <c r="F191" s="20">
        <f>'Economic Forecasts'!O$19</f>
        <v>909.56</v>
      </c>
      <c r="G191" s="21">
        <f>'Economic Forecasts'!P$19</f>
        <v>934.42</v>
      </c>
      <c r="H191" s="21">
        <f>'Economic Forecasts'!Q$19</f>
        <v>956.95</v>
      </c>
      <c r="I191" s="21">
        <f>'Economic Forecasts'!R$19</f>
        <v>980.97</v>
      </c>
      <c r="J191" s="21">
        <f>'Economic Forecasts'!S$19</f>
        <v>1007.93</v>
      </c>
      <c r="K191" s="21">
        <f>'Economic Forecasts'!T$19</f>
        <v>1036.46</v>
      </c>
      <c r="L191" s="9">
        <f ca="1">IF(OFFSET(Assumptions!$B$30,0,$C$1)="Yes",(52*L$190-IF(52*L$190&gt;Exogenous!$C$52,(52*L$190-Exogenous!$C$52)*Exogenous!$B$53+Exogenous!$E$52,IF(52*L$190&gt;Exogenous!$C$51,(52*L$190-Exogenous!$C$51)*Exogenous!$B$52+Exogenous!$E$51,IF(52*L$190&gt;Exogenous!$C$50,(52*L$190-Exogenous!$C$50)*Exogenous!$B$51+Exogenous!$E$50,52*L$190*Exogenous!$B$50)))-52*L$190*Exogenous!$B$54)/52,K$191*(1+L$27))</f>
        <v>1071.9898488000001</v>
      </c>
      <c r="M191" s="9">
        <f ca="1">IF(OFFSET(Assumptions!$B$30,0,$C$1)="Yes",(52*M$190-IF(52*M$190&gt;Exogenous!$C$52,(52*M$190-Exogenous!$C$52)*Exogenous!$B$53+Exogenous!$E$52,IF(52*M$190&gt;Exogenous!$C$51,(52*M$190-Exogenous!$C$51)*Exogenous!$B$52+Exogenous!$E$51,IF(52*M$190&gt;Exogenous!$C$50,(52*M$190-Exogenous!$C$50)*Exogenous!$B$51+Exogenous!$E$50,52*M$190*Exogenous!$B$50)))-52*M$190*Exogenous!$B$54)/52,L$191*(1+M$27))</f>
        <v>1109.2843756397519</v>
      </c>
      <c r="N191" s="9">
        <f ca="1">IF(OFFSET(Assumptions!$B$30,0,$C$1)="Yes",(52*N$190-IF(52*N$190&gt;Exogenous!$C$52,(52*N$190-Exogenous!$C$52)*Exogenous!$B$53+Exogenous!$E$52,IF(52*N$190&gt;Exogenous!$C$51,(52*N$190-Exogenous!$C$51)*Exogenous!$B$52+Exogenous!$E$51,IF(52*N$190&gt;Exogenous!$C$50,(52*N$190-Exogenous!$C$50)*Exogenous!$B$51+Exogenous!$E$50,52*N$190*Exogenous!$B$50)))-52*N$190*Exogenous!$B$54)/52,M$191*(1+N$27))</f>
        <v>1148.442114099835</v>
      </c>
      <c r="O191" s="9">
        <f ca="1">IF(OFFSET(Assumptions!$B$30,0,$C$1)="Yes",(52*O$190-IF(52*O$190&gt;Exogenous!$C$52,(52*O$190-Exogenous!$C$52)*Exogenous!$B$53+Exogenous!$E$52,IF(52*O$190&gt;Exogenous!$C$51,(52*O$190-Exogenous!$C$51)*Exogenous!$B$52+Exogenous!$E$51,IF(52*O$190&gt;Exogenous!$C$50,(52*O$190-Exogenous!$C$50)*Exogenous!$B$51+Exogenous!$E$50,52*O$190*Exogenous!$B$50)))-52*O$190*Exogenous!$B$54)/52,N$191*(1+O$27))</f>
        <v>1188.982120727559</v>
      </c>
      <c r="P191" s="9">
        <f ca="1">IF(OFFSET(Assumptions!$B$30,0,$C$1)="Yes",(52*P$190-IF(52*P$190&gt;Exogenous!$C$52,(52*P$190-Exogenous!$C$52)*Exogenous!$B$53+Exogenous!$E$52,IF(52*P$190&gt;Exogenous!$C$51,(52*P$190-Exogenous!$C$51)*Exogenous!$B$52+Exogenous!$E$51,IF(52*P$190&gt;Exogenous!$C$50,(52*P$190-Exogenous!$C$50)*Exogenous!$B$51+Exogenous!$E$50,52*P$190*Exogenous!$B$50)))-52*P$190*Exogenous!$B$54)/52,O$191*(1+P$27))</f>
        <v>1230.9531895892417</v>
      </c>
      <c r="Q191" s="9">
        <f ca="1">IF(OFFSET(Assumptions!$B$30,0,$C$1)="Yes",(52*Q$190-IF(52*Q$190&gt;Exogenous!$C$52,(52*Q$190-Exogenous!$C$52)*Exogenous!$B$53+Exogenous!$E$52,IF(52*Q$190&gt;Exogenous!$C$51,(52*Q$190-Exogenous!$C$51)*Exogenous!$B$52+Exogenous!$E$51,IF(52*Q$190&gt;Exogenous!$C$50,(52*Q$190-Exogenous!$C$50)*Exogenous!$B$51+Exogenous!$E$50,52*Q$190*Exogenous!$B$50)))-52*Q$190*Exogenous!$B$54)/52,P$191*(1+Q$27))</f>
        <v>1274.4058371817418</v>
      </c>
      <c r="R191" s="9">
        <f ca="1">IF(OFFSET(Assumptions!$B$30,0,$C$1)="Yes",(52*R$190-IF(52*R$190&gt;Exogenous!$C$52,(52*R$190-Exogenous!$C$52)*Exogenous!$B$53+Exogenous!$E$52,IF(52*R$190&gt;Exogenous!$C$51,(52*R$190-Exogenous!$C$51)*Exogenous!$B$52+Exogenous!$E$51,IF(52*R$190&gt;Exogenous!$C$50,(52*R$190-Exogenous!$C$50)*Exogenous!$B$51+Exogenous!$E$50,52*R$190*Exogenous!$B$50)))-52*R$190*Exogenous!$B$54)/52,Q$191*(1+R$27))</f>
        <v>1319.3923632342571</v>
      </c>
      <c r="S191" s="9">
        <f ca="1">IF(OFFSET(Assumptions!$B$30,0,$C$1)="Yes",(52*S$190-IF(52*S$190&gt;Exogenous!$C$52,(52*S$190-Exogenous!$C$52)*Exogenous!$B$53+Exogenous!$E$52,IF(52*S$190&gt;Exogenous!$C$51,(52*S$190-Exogenous!$C$51)*Exogenous!$B$52+Exogenous!$E$51,IF(52*S$190&gt;Exogenous!$C$50,(52*S$190-Exogenous!$C$50)*Exogenous!$B$51+Exogenous!$E$50,52*S$190*Exogenous!$B$50)))-52*S$190*Exogenous!$B$54)/52,R$191*(1+S$27))</f>
        <v>1365.9669136564262</v>
      </c>
      <c r="T191" s="9">
        <f ca="1">IF(OFFSET(Assumptions!$B$30,0,$C$1)="Yes",(52*T$190-IF(52*T$190&gt;Exogenous!$C$52,(52*T$190-Exogenous!$C$52)*Exogenous!$B$53+Exogenous!$E$52,IF(52*T$190&gt;Exogenous!$C$51,(52*T$190-Exogenous!$C$51)*Exogenous!$B$52+Exogenous!$E$51,IF(52*T$190&gt;Exogenous!$C$50,(52*T$190-Exogenous!$C$50)*Exogenous!$B$51+Exogenous!$E$50,52*T$190*Exogenous!$B$50)))-52*T$190*Exogenous!$B$54)/52,S$191*(1+T$27))</f>
        <v>1414.1855457084978</v>
      </c>
      <c r="U191" s="9">
        <f ca="1">IF(OFFSET(Assumptions!$B$30,0,$C$1)="Yes",(52*U$190-IF(52*U$190&gt;Exogenous!$C$52,(52*U$190-Exogenous!$C$52)*Exogenous!$B$53+Exogenous!$E$52,IF(52*U$190&gt;Exogenous!$C$51,(52*U$190-Exogenous!$C$51)*Exogenous!$B$52+Exogenous!$E$51,IF(52*U$190&gt;Exogenous!$C$50,(52*U$190-Exogenous!$C$50)*Exogenous!$B$51+Exogenous!$E$50,52*U$190*Exogenous!$B$50)))-52*U$190*Exogenous!$B$54)/52,T$191*(1+U$27))</f>
        <v>1464.1062954720076</v>
      </c>
    </row>
    <row r="192" spans="1:21" x14ac:dyDescent="0.2">
      <c r="A192" s="1" t="s">
        <v>464</v>
      </c>
      <c r="B192" s="4" t="str">
        <f>$B$11</f>
        <v>From Economic</v>
      </c>
      <c r="D192" s="20">
        <f>'Economic Forecasts'!M$20</f>
        <v>326.3</v>
      </c>
      <c r="E192" s="20">
        <f>'Economic Forecasts'!N$20</f>
        <v>335.74</v>
      </c>
      <c r="F192" s="20">
        <f>'Economic Forecasts'!O$20</f>
        <v>340.8</v>
      </c>
      <c r="G192" s="21">
        <f>'Economic Forecasts'!P$20</f>
        <v>350.76</v>
      </c>
      <c r="H192" s="21">
        <f>'Economic Forecasts'!Q$20</f>
        <v>359.76</v>
      </c>
      <c r="I192" s="21">
        <f>'Economic Forecasts'!R$20</f>
        <v>369.44</v>
      </c>
      <c r="J192" s="21">
        <f>'Economic Forecasts'!S$20</f>
        <v>380.27</v>
      </c>
      <c r="K192" s="21">
        <f>'Economic Forecasts'!T$20</f>
        <v>391.6</v>
      </c>
      <c r="L192" s="9">
        <f ca="1">IF(OFFSET(Assumptions!$B$30,0,$C$1)="Yes",IF(52*L$193&gt;Exogenous!$D$52,(52*L$193-Exogenous!$F$53)/(1-Exogenous!$B$53),IF(52*L$193&gt;Exogenous!$D$51,(52*L$193-Exogenous!$F$52)/(1-Exogenous!$B$52),IF(52*L$193&gt;Exogenous!$D$50,(52*L$193-Exogenous!$F$51)/(1-Exogenous!$B$51),52*L$193/(1-Exogenous!$B$50))))/52,K$192*L$193/K$193)</f>
        <v>399.43200000000002</v>
      </c>
      <c r="M192" s="9">
        <f ca="1">IF(OFFSET(Assumptions!$B$30,0,$C$1)="Yes",IF(52*M$193&gt;Exogenous!$D$52,(52*M$193-Exogenous!$F$53)/(1-Exogenous!$B$53),IF(52*M$193&gt;Exogenous!$D$51,(52*M$193-Exogenous!$F$52)/(1-Exogenous!$B$52),IF(52*M$193&gt;Exogenous!$D$50,(52*M$193-Exogenous!$F$51)/(1-Exogenous!$B$51),52*M$193/(1-Exogenous!$B$50))))/52,L$192*M$193/L$193)</f>
        <v>412.76678211756638</v>
      </c>
      <c r="N192" s="9">
        <f ca="1">IF(OFFSET(Assumptions!$B$30,0,$C$1)="Yes",IF(52*N$193&gt;Exogenous!$D$52,(52*N$193-Exogenous!$F$53)/(1-Exogenous!$B$53),IF(52*N$193&gt;Exogenous!$D$51,(52*N$193-Exogenous!$F$52)/(1-Exogenous!$B$52),IF(52*N$193&gt;Exogenous!$D$50,(52*N$193-Exogenous!$F$51)/(1-Exogenous!$B$51),52*N$193/(1-Exogenous!$B$50))))/52,M$192*N$193/M$193)</f>
        <v>427.33744952631639</v>
      </c>
      <c r="O192" s="9">
        <f ca="1">IF(OFFSET(Assumptions!$B$30,0,$C$1)="Yes",IF(52*O$193&gt;Exogenous!$D$52,(52*O$193-Exogenous!$F$53)/(1-Exogenous!$B$53),IF(52*O$193&gt;Exogenous!$D$51,(52*O$193-Exogenous!$F$52)/(1-Exogenous!$B$52),IF(52*O$193&gt;Exogenous!$D$50,(52*O$193-Exogenous!$F$51)/(1-Exogenous!$B$51),52*O$193/(1-Exogenous!$B$50))))/52,N$192*O$193/N$193)</f>
        <v>442.42246149459527</v>
      </c>
      <c r="P192" s="9">
        <f ca="1">IF(OFFSET(Assumptions!$B$30,0,$C$1)="Yes",IF(52*P$193&gt;Exogenous!$D$52,(52*P$193-Exogenous!$F$53)/(1-Exogenous!$B$53),IF(52*P$193&gt;Exogenous!$D$51,(52*P$193-Exogenous!$F$52)/(1-Exogenous!$B$52),IF(52*P$193&gt;Exogenous!$D$50,(52*P$193-Exogenous!$F$51)/(1-Exogenous!$B$51),52*P$193/(1-Exogenous!$B$50))))/52,O$192*P$193/O$193)</f>
        <v>458.03997438535441</v>
      </c>
      <c r="Q192" s="9">
        <f ca="1">IF(OFFSET(Assumptions!$B$30,0,$C$1)="Yes",IF(52*Q$193&gt;Exogenous!$D$52,(52*Q$193-Exogenous!$F$53)/(1-Exogenous!$B$53),IF(52*Q$193&gt;Exogenous!$D$51,(52*Q$193-Exogenous!$F$52)/(1-Exogenous!$B$52),IF(52*Q$193&gt;Exogenous!$D$50,(52*Q$193-Exogenous!$F$51)/(1-Exogenous!$B$51),52*Q$193/(1-Exogenous!$B$50))))/52,P$192*Q$193/P$193)</f>
        <v>474.20878548115741</v>
      </c>
      <c r="R192" s="9">
        <f ca="1">IF(OFFSET(Assumptions!$B$30,0,$C$1)="Yes",IF(52*R$193&gt;Exogenous!$D$52,(52*R$193-Exogenous!$F$53)/(1-Exogenous!$B$53),IF(52*R$193&gt;Exogenous!$D$51,(52*R$193-Exogenous!$F$52)/(1-Exogenous!$B$52),IF(52*R$193&gt;Exogenous!$D$50,(52*R$193-Exogenous!$F$51)/(1-Exogenous!$B$51),52*R$193/(1-Exogenous!$B$50))))/52,Q$192*R$193/Q$193)</f>
        <v>490.94835560864215</v>
      </c>
      <c r="S192" s="9">
        <f ca="1">IF(OFFSET(Assumptions!$B$30,0,$C$1)="Yes",IF(52*S$193&gt;Exogenous!$D$52,(52*S$193-Exogenous!$F$53)/(1-Exogenous!$B$53),IF(52*S$193&gt;Exogenous!$D$51,(52*S$193-Exogenous!$F$52)/(1-Exogenous!$B$52),IF(52*S$193&gt;Exogenous!$D$50,(52*S$193-Exogenous!$F$51)/(1-Exogenous!$B$51),52*S$193/(1-Exogenous!$B$50))))/52,R$192*S$193/R$193)</f>
        <v>508.27883256162715</v>
      </c>
      <c r="T192" s="9">
        <f ca="1">IF(OFFSET(Assumptions!$B$30,0,$C$1)="Yes",IF(52*T$193&gt;Exogenous!$D$52,(52*T$193-Exogenous!$F$53)/(1-Exogenous!$B$53),IF(52*T$193&gt;Exogenous!$D$51,(52*T$193-Exogenous!$F$52)/(1-Exogenous!$B$52),IF(52*T$193&gt;Exogenous!$D$50,(52*T$193-Exogenous!$F$51)/(1-Exogenous!$B$51),52*T$193/(1-Exogenous!$B$50))))/52,S$192*T$193/S$193)</f>
        <v>526.22107535105249</v>
      </c>
      <c r="U192" s="9">
        <f ca="1">IF(OFFSET(Assumptions!$B$30,0,$C$1)="Yes",IF(52*U$193&gt;Exogenous!$D$52,(52*U$193-Exogenous!$F$53)/(1-Exogenous!$B$53),IF(52*U$193&gt;Exogenous!$D$51,(52*U$193-Exogenous!$F$52)/(1-Exogenous!$B$52),IF(52*U$193&gt;Exogenous!$D$50,(52*U$193-Exogenous!$F$51)/(1-Exogenous!$B$51),52*U$193/(1-Exogenous!$B$50))))/52,T$192*U$193/T$193)</f>
        <v>544.79667931094457</v>
      </c>
    </row>
    <row r="193" spans="1:21" x14ac:dyDescent="0.2">
      <c r="A193" s="1" t="s">
        <v>467</v>
      </c>
      <c r="B193" s="4" t="str">
        <f>$B$11</f>
        <v>From Economic</v>
      </c>
      <c r="D193" s="20">
        <f>'Economic Forecasts'!M$21</f>
        <v>288.10000000000002</v>
      </c>
      <c r="E193" s="20">
        <f>'Economic Forecasts'!N$21</f>
        <v>295.97000000000003</v>
      </c>
      <c r="F193" s="20">
        <f>'Economic Forecasts'!O$21</f>
        <v>300.14999999999998</v>
      </c>
      <c r="G193" s="21">
        <f>'Economic Forecasts'!P$21</f>
        <v>308.36</v>
      </c>
      <c r="H193" s="21">
        <f>'Economic Forecasts'!Q$21</f>
        <v>315.79000000000002</v>
      </c>
      <c r="I193" s="21">
        <f>'Economic Forecasts'!R$21</f>
        <v>323.72000000000003</v>
      </c>
      <c r="J193" s="21">
        <f>'Economic Forecasts'!S$21</f>
        <v>332.62</v>
      </c>
      <c r="K193" s="21">
        <f>'Economic Forecasts'!T$21</f>
        <v>342.03</v>
      </c>
      <c r="L193" s="9">
        <f ca="1">MAX(OFFSET(Assumptions!$B$47,0,$C$1)*L$191/2,K$193*(1+L$30))</f>
        <v>348.87059999999997</v>
      </c>
      <c r="M193" s="9">
        <f ca="1">MAX(OFFSET(Assumptions!$B$47,0,$C$1)*M$191/2,L$193*(1+M$30))</f>
        <v>360.51742208291938</v>
      </c>
      <c r="N193" s="9">
        <f ca="1">MAX(OFFSET(Assumptions!$B$47,0,$C$1)*N$191/2,M$193*(1+N$30))</f>
        <v>373.2436870824464</v>
      </c>
      <c r="O193" s="9">
        <f ca="1">MAX(OFFSET(Assumptions!$B$47,0,$C$1)*O$191/2,N$193*(1+O$30))</f>
        <v>386.4191892364567</v>
      </c>
      <c r="P193" s="9">
        <f ca="1">MAX(OFFSET(Assumptions!$B$47,0,$C$1)*P$191/2,O$193*(1+P$30))</f>
        <v>400.05978661650357</v>
      </c>
      <c r="Q193" s="9">
        <f ca="1">MAX(OFFSET(Assumptions!$B$47,0,$C$1)*Q$191/2,P$193*(1+Q$30))</f>
        <v>414.18189708406612</v>
      </c>
      <c r="R193" s="9">
        <f ca="1">MAX(OFFSET(Assumptions!$B$47,0,$C$1)*R$191/2,Q$193*(1+R$30))</f>
        <v>428.80251805113357</v>
      </c>
      <c r="S193" s="9">
        <f ca="1">MAX(OFFSET(Assumptions!$B$47,0,$C$1)*S$191/2,R$193*(1+S$30))</f>
        <v>443.9392469383385</v>
      </c>
      <c r="T193" s="9">
        <f ca="1">MAX(OFFSET(Assumptions!$B$47,0,$C$1)*T$191/2,S$193*(1+T$30))</f>
        <v>459.61030235526181</v>
      </c>
      <c r="U193" s="9">
        <f ca="1">MAX(OFFSET(Assumptions!$B$47,0,$C$1)*U$191/2,T$193*(1+U$30))</f>
        <v>475.83454602840249</v>
      </c>
    </row>
    <row r="194" spans="1:21" x14ac:dyDescent="0.2">
      <c r="B194" s="4"/>
      <c r="D194" s="20"/>
      <c r="E194" s="20"/>
      <c r="F194" s="20"/>
      <c r="G194" s="21"/>
      <c r="H194" s="21"/>
      <c r="I194" s="21"/>
      <c r="J194" s="21"/>
      <c r="K194" s="21"/>
      <c r="L194" s="9"/>
      <c r="M194" s="9"/>
      <c r="N194" s="9"/>
      <c r="O194" s="9"/>
      <c r="P194" s="9"/>
      <c r="Q194" s="9"/>
      <c r="R194" s="9"/>
      <c r="S194" s="9"/>
      <c r="T194" s="9"/>
      <c r="U194" s="9"/>
    </row>
    <row r="195" spans="1:21" x14ac:dyDescent="0.2">
      <c r="A195" s="18" t="s">
        <v>147</v>
      </c>
    </row>
    <row r="196" spans="1:21" x14ac:dyDescent="0.2">
      <c r="A196" s="1" t="s">
        <v>298</v>
      </c>
      <c r="B196" s="4" t="str">
        <f>$B$37</f>
        <v>From Fiscal</v>
      </c>
      <c r="D196" s="14">
        <f>'Fiscal Forecasts'!D$157</f>
        <v>6.5519999999999996</v>
      </c>
      <c r="E196" s="14">
        <f>'Fiscal Forecasts'!E$157</f>
        <v>6.6660000000000004</v>
      </c>
      <c r="F196" s="14">
        <f>'Fiscal Forecasts'!F$157</f>
        <v>6.89</v>
      </c>
      <c r="G196" s="15">
        <f>'Fiscal Forecasts'!G$157</f>
        <v>7.2409999999999997</v>
      </c>
      <c r="H196" s="15">
        <f>'Fiscal Forecasts'!H$157</f>
        <v>7.54</v>
      </c>
      <c r="I196" s="15">
        <f>'Fiscal Forecasts'!I$157</f>
        <v>7.4119999999999999</v>
      </c>
      <c r="J196" s="15">
        <f>'Fiscal Forecasts'!J$157</f>
        <v>7.4219999999999997</v>
      </c>
      <c r="K196" s="15">
        <f>'Fiscal Forecasts'!K$157</f>
        <v>7.444</v>
      </c>
      <c r="L196" s="6">
        <f ca="1">SUM(L$243,IF(L$6=OFFSET(Assumptions!$B$8,0,$C$1),AVERAGE(SUM(I$196,-I$243)/SUM(I$196,I$203,I$213,-I$243,-I$315),SUM(J$196,-J$243)/SUM(J$196,J$203,J$213,-J$243,-J$315),SUM(K$196,-K$243)/SUM(K$196,K$203,K$213,-K$243,-K$315)),SUM(K$196,-K$243)/SUM(K$196,K$203,K$213,-K$243,-K$315))*SUM(-L$247,-L$255,L$314))</f>
        <v>7.4096984722128862</v>
      </c>
      <c r="M196" s="6">
        <f ca="1">SUM(M$243,IF(M$6=OFFSET(Assumptions!$B$8,0,$C$1),AVERAGE(SUM(J$196,-J$243)/SUM(J$196,J$203,J$213,-J$243,-J$315),SUM(K$196,-K$243)/SUM(K$196,K$203,K$213,-K$243,-K$315),SUM(L$196,-L$243)/SUM(L$196,L$203,L$213,-L$243,-L$315)),SUM(L$196,-L$243)/SUM(L$196,L$203,L$213,-L$243,-L$315))*SUM(-M$247,-M$255,M$314))</f>
        <v>7.4220590413425311</v>
      </c>
      <c r="N196" s="6">
        <f ca="1">SUM(N$243,IF(N$6=OFFSET(Assumptions!$B$8,0,$C$1),AVERAGE(SUM(K$196,-K$243)/SUM(K$196,K$203,K$213,-K$243,-K$315),SUM(L$196,-L$243)/SUM(L$196,L$203,L$213,-L$243,-L$315),SUM(M$196,-M$243)/SUM(M$196,M$203,M$213,-M$243,-M$315)),SUM(M$196,-M$243)/SUM(M$196,M$203,M$213,-M$243,-M$315))*SUM(-N$247,-N$255,N$314))</f>
        <v>7.4341396178110291</v>
      </c>
      <c r="O196" s="6">
        <f ca="1">SUM(O$243,IF(O$6=OFFSET(Assumptions!$B$8,0,$C$1),AVERAGE(SUM(L$196,-L$243)/SUM(L$196,L$203,L$213,-L$243,-L$315),SUM(M$196,-M$243)/SUM(M$196,M$203,M$213,-M$243,-M$315),SUM(N$196,-N$243)/SUM(N$196,N$203,N$213,-N$243,-N$315)),SUM(N$196,-N$243)/SUM(N$196,N$203,N$213,-N$243,-N$315))*SUM(-O$247,-O$255,O$314))</f>
        <v>7.4465031167391293</v>
      </c>
      <c r="P196" s="6">
        <f ca="1">SUM(P$243,IF(P$6=OFFSET(Assumptions!$B$8,0,$C$1),AVERAGE(SUM(M$196,-M$243)/SUM(M$196,M$203,M$213,-M$243,-M$315),SUM(N$196,-N$243)/SUM(N$196,N$203,N$213,-N$243,-N$315),SUM(O$196,-O$243)/SUM(O$196,O$203,O$213,-O$243,-O$315)),SUM(O$196,-O$243)/SUM(O$196,O$203,O$213,-O$243,-O$315))*SUM(-P$247,-P$255,P$314))</f>
        <v>7.458735690127269</v>
      </c>
      <c r="Q196" s="6">
        <f ca="1">SUM(Q$243,IF(Q$6=OFFSET(Assumptions!$B$8,0,$C$1),AVERAGE(SUM(N$196,-N$243)/SUM(N$196,N$203,N$213,-N$243,-N$315),SUM(O$196,-O$243)/SUM(O$196,O$203,O$213,-O$243,-O$315),SUM(P$196,-P$243)/SUM(P$196,P$203,P$213,-P$243,-P$315)),SUM(P$196,-P$243)/SUM(P$196,P$203,P$213,-P$243,-P$315))*SUM(-Q$247,-Q$255,Q$314))</f>
        <v>7.4682773107598805</v>
      </c>
      <c r="R196" s="6">
        <f ca="1">SUM(R$243,IF(R$6=OFFSET(Assumptions!$B$8,0,$C$1),AVERAGE(SUM(O$196,-O$243)/SUM(O$196,O$203,O$213,-O$243,-O$315),SUM(P$196,-P$243)/SUM(P$196,P$203,P$213,-P$243,-P$315),SUM(Q$196,-Q$243)/SUM(Q$196,Q$203,Q$213,-Q$243,-Q$315)),SUM(Q$196,-Q$243)/SUM(Q$196,Q$203,Q$213,-Q$243,-Q$315))*SUM(-R$247,-R$255,R$314))</f>
        <v>7.4725284311200824</v>
      </c>
      <c r="S196" s="6">
        <f ca="1">SUM(S$243,IF(S$6=OFFSET(Assumptions!$B$8,0,$C$1),AVERAGE(SUM(P$196,-P$243)/SUM(P$196,P$203,P$213,-P$243,-P$315),SUM(Q$196,-Q$243)/SUM(Q$196,Q$203,Q$213,-Q$243,-Q$315),SUM(R$196,-R$243)/SUM(R$196,R$203,R$213,-R$243,-R$315)),SUM(R$196,-R$243)/SUM(R$196,R$203,R$213,-R$243,-R$315))*SUM(-S$247,-S$255,S$314))</f>
        <v>7.4777151504878523</v>
      </c>
      <c r="T196" s="6">
        <f ca="1">SUM(T$243,IF(T$6=OFFSET(Assumptions!$B$8,0,$C$1),AVERAGE(SUM(Q$196,-Q$243)/SUM(Q$196,Q$203,Q$213,-Q$243,-Q$315),SUM(R$196,-R$243)/SUM(R$196,R$203,R$213,-R$243,-R$315),SUM(S$196,-S$243)/SUM(S$196,S$203,S$213,-S$243,-S$315)),SUM(S$196,-S$243)/SUM(S$196,S$203,S$213,-S$243,-S$315))*SUM(-T$247,-T$255,T$314))</f>
        <v>7.4823020128414841</v>
      </c>
      <c r="U196" s="6">
        <f ca="1">SUM(U$243,IF(U$6=OFFSET(Assumptions!$B$8,0,$C$1),AVERAGE(SUM(R$196,-R$243)/SUM(R$196,R$203,R$213,-R$243,-R$315),SUM(S$196,-S$243)/SUM(S$196,S$203,S$213,-S$243,-S$315),SUM(T$196,-T$243)/SUM(T$196,T$203,T$213,-T$243,-T$315)),SUM(T$196,-T$243)/SUM(T$196,T$203,T$213,-T$243,-T$315))*SUM(-U$247,-U$255,U$314))</f>
        <v>7.4873608647972389</v>
      </c>
    </row>
    <row r="197" spans="1:21" x14ac:dyDescent="0.2">
      <c r="A197" s="1" t="s">
        <v>272</v>
      </c>
      <c r="B197" s="4" t="str">
        <f>$B$37</f>
        <v>From Fiscal</v>
      </c>
      <c r="D197" s="14">
        <f>'Fiscal Forecasts'!D$238</f>
        <v>11.66</v>
      </c>
      <c r="E197" s="14">
        <f>'Fiscal Forecasts'!E$238</f>
        <v>12.205</v>
      </c>
      <c r="F197" s="14">
        <f>'Fiscal Forecasts'!F$238</f>
        <v>12.878</v>
      </c>
      <c r="G197" s="15">
        <f>'Fiscal Forecasts'!G$238</f>
        <v>13.538</v>
      </c>
      <c r="H197" s="15">
        <f>'Fiscal Forecasts'!H$238</f>
        <v>13.856</v>
      </c>
      <c r="I197" s="15">
        <f>'Fiscal Forecasts'!I$238</f>
        <v>14.04</v>
      </c>
      <c r="J197" s="15">
        <f>'Fiscal Forecasts'!J$238</f>
        <v>14.391999999999999</v>
      </c>
      <c r="K197" s="15">
        <f>'Fiscal Forecasts'!K$238</f>
        <v>14.316000000000001</v>
      </c>
      <c r="L197" s="6">
        <f ca="1">SUM(L$244-L$243,IF(L$6=OFFSET(Assumptions!$B$8,0,$C$1),AVERAGE(SUM(I$197,-(I$244-I$243))/SUM(I$197,-(I$244-I$243),I$204,I$214),SUM(J$197,-(J$244-J$243))/SUM(J$197,-(J$244-J$243),J$204,J$214),SUM(K$197,-(K$244-K$243))/SUM(K$197,-(K$244-K$243),K$204,K$214)),SUM(K$197,-(K$244-K$243))/SUM(K$197,-(K$244-K$243),K$204,K$214))*SUM(L$186-L$229,L$248,L$257,L$279,L$317,-(L$244-L$243)))</f>
        <v>14.740204608737503</v>
      </c>
      <c r="M197" s="6">
        <f ca="1">SUM(M$244-M$243,IF(M$6=OFFSET(Assumptions!$B$8,0,$C$1),AVERAGE(SUM(J$197,-(J$244-J$243))/SUM(J$197,-(J$244-J$243),J$204,J$214),SUM(K$197,-(K$244-K$243))/SUM(K$197,-(K$244-K$243),K$204,K$214),SUM(L$197,-(L$244-L$243))/SUM(L$197,-(L$244-L$243),L$204,L$214)),SUM(L$197,-(L$244-L$243))/SUM(L$197,-(L$244-L$243),L$204,L$214))*SUM(M$186-M$229,M$248,M$257,M$279,M$317,-(M$244-M$243)))</f>
        <v>15.056792537922627</v>
      </c>
      <c r="N197" s="6">
        <f ca="1">SUM(N$244-N$243,IF(N$6=OFFSET(Assumptions!$B$8,0,$C$1),AVERAGE(SUM(K$197,-(K$244-K$243))/SUM(K$197,-(K$244-K$243),K$204,K$214),SUM(L$197,-(L$244-L$243))/SUM(L$197,-(L$244-L$243),L$204,L$214),SUM(M$197,-(M$244-M$243))/SUM(M$197,-(M$244-M$243),M$204,M$214)),SUM(M$197,-(M$244-M$243))/SUM(M$197,-(M$244-M$243),M$204,M$214))*SUM(N$186-N$229,N$248,N$257,N$279,N$317,-(N$244-N$243)))</f>
        <v>15.270421902005676</v>
      </c>
      <c r="O197" s="6">
        <f ca="1">SUM(O$244-O$243,IF(O$6=OFFSET(Assumptions!$B$8,0,$C$1),AVERAGE(SUM(L$197,-(L$244-L$243))/SUM(L$197,-(L$244-L$243),L$204,L$214),SUM(M$197,-(M$244-M$243))/SUM(M$197,-(M$244-M$243),M$204,M$214),SUM(N$197,-(N$244-N$243))/SUM(N$197,-(N$244-N$243),N$204,N$214)),SUM(N$197,-(N$244-N$243))/SUM(N$197,-(N$244-N$243),N$204,N$214))*SUM(O$186-O$229,O$248,O$257,O$279,O$317,-(O$244-O$243)))</f>
        <v>15.489862374293757</v>
      </c>
      <c r="P197" s="6">
        <f ca="1">SUM(P$244-P$243,IF(P$6=OFFSET(Assumptions!$B$8,0,$C$1),AVERAGE(SUM(M$197,-(M$244-M$243))/SUM(M$197,-(M$244-M$243),M$204,M$214),SUM(N$197,-(N$244-N$243))/SUM(N$197,-(N$244-N$243),N$204,N$214),SUM(O$197,-(O$244-O$243))/SUM(O$197,-(O$244-O$243),O$204,O$214)),SUM(O$197,-(O$244-O$243))/SUM(O$197,-(O$244-O$243),O$204,O$214))*SUM(P$186-P$229,P$248,P$257,P$279,P$317,-(P$244-P$243)))</f>
        <v>15.717544649805649</v>
      </c>
      <c r="Q197" s="6">
        <f ca="1">SUM(Q$244-Q$243,IF(Q$6=OFFSET(Assumptions!$B$8,0,$C$1),AVERAGE(SUM(N$197,-(N$244-N$243))/SUM(N$197,-(N$244-N$243),N$204,N$214),SUM(O$197,-(O$244-O$243))/SUM(O$197,-(O$244-O$243),O$204,O$214),SUM(P$197,-(P$244-P$243))/SUM(P$197,-(P$244-P$243),P$204,P$214)),SUM(P$197,-(P$244-P$243))/SUM(P$197,-(P$244-P$243),P$204,P$214))*SUM(Q$186-Q$229,Q$248,Q$257,Q$279,Q$317,-(Q$244-Q$243)))</f>
        <v>15.952937347356354</v>
      </c>
      <c r="R197" s="6">
        <f ca="1">SUM(R$244-R$243,IF(R$6=OFFSET(Assumptions!$B$8,0,$C$1),AVERAGE(SUM(O$197,-(O$244-O$243))/SUM(O$197,-(O$244-O$243),O$204,O$214),SUM(P$197,-(P$244-P$243))/SUM(P$197,-(P$244-P$243),P$204,P$214),SUM(Q$197,-(Q$244-Q$243))/SUM(Q$197,-(Q$244-Q$243),Q$204,Q$214)),SUM(Q$197,-(Q$244-Q$243))/SUM(Q$197,-(Q$244-Q$243),Q$204,Q$214))*SUM(R$186-R$229,R$248,R$257,R$279,R$317,-(R$244-R$243)))</f>
        <v>16.19666584179642</v>
      </c>
      <c r="S197" s="6">
        <f ca="1">SUM(S$244-S$243,IF(S$6=OFFSET(Assumptions!$B$8,0,$C$1),AVERAGE(SUM(P$197,-(P$244-P$243))/SUM(P$197,-(P$244-P$243),P$204,P$214),SUM(Q$197,-(Q$244-Q$243))/SUM(Q$197,-(Q$244-Q$243),Q$204,Q$214),SUM(R$197,-(R$244-R$243))/SUM(R$197,-(R$244-R$243),R$204,R$214)),SUM(R$197,-(R$244-R$243))/SUM(R$197,-(R$244-R$243),R$204,R$214))*SUM(S$186-S$229,S$248,S$257,S$279,S$317,-(S$244-S$243)))</f>
        <v>16.447521431021723</v>
      </c>
      <c r="T197" s="6">
        <f ca="1">SUM(T$244-T$243,IF(T$6=OFFSET(Assumptions!$B$8,0,$C$1),AVERAGE(SUM(Q$197,-(Q$244-Q$243))/SUM(Q$197,-(Q$244-Q$243),Q$204,Q$214),SUM(R$197,-(R$244-R$243))/SUM(R$197,-(R$244-R$243),R$204,R$214),SUM(S$197,-(S$244-S$243))/SUM(S$197,-(S$244-S$243),S$204,S$214)),SUM(S$197,-(S$244-S$243))/SUM(S$197,-(S$244-S$243),S$204,S$214))*SUM(T$186-T$229,T$248,T$257,T$279,T$317,-(T$244-T$243)))</f>
        <v>16.707257299811037</v>
      </c>
      <c r="U197" s="6">
        <f ca="1">SUM(U$244-U$243,IF(U$6=OFFSET(Assumptions!$B$8,0,$C$1),AVERAGE(SUM(R$197,-(R$244-R$243))/SUM(R$197,-(R$244-R$243),R$204,R$214),SUM(S$197,-(S$244-S$243))/SUM(S$197,-(S$244-S$243),S$204,S$214),SUM(T$197,-(T$244-T$243))/SUM(T$197,-(T$244-T$243),T$204,T$214)),SUM(T$197,-(T$244-T$243))/SUM(T$197,-(T$244-T$243),T$204,T$214))*SUM(U$186-U$229,U$248,U$257,U$279,U$317,-(U$244-U$243)))</f>
        <v>16.97671155683598</v>
      </c>
    </row>
    <row r="198" spans="1:21" x14ac:dyDescent="0.2">
      <c r="A198" s="1" t="s">
        <v>483</v>
      </c>
      <c r="B198" s="4" t="str">
        <f>$B$37</f>
        <v>From Fiscal</v>
      </c>
      <c r="D198" s="14">
        <f>'Fiscal Forecasts'!D$239</f>
        <v>2.9350000000000001</v>
      </c>
      <c r="E198" s="14">
        <f>'Fiscal Forecasts'!E$239</f>
        <v>2.9209999999999998</v>
      </c>
      <c r="F198" s="14">
        <f>'Fiscal Forecasts'!F$239</f>
        <v>2.8690000000000002</v>
      </c>
      <c r="G198" s="15">
        <f>'Fiscal Forecasts'!G$239</f>
        <v>2.9249999999999998</v>
      </c>
      <c r="H198" s="15">
        <f>'Fiscal Forecasts'!H$239</f>
        <v>3.008</v>
      </c>
      <c r="I198" s="15">
        <f>'Fiscal Forecasts'!I$239</f>
        <v>3.1539999999999999</v>
      </c>
      <c r="J198" s="15">
        <f>'Fiscal Forecasts'!J$239</f>
        <v>3.2810000000000001</v>
      </c>
      <c r="K198" s="15">
        <f>'Fiscal Forecasts'!K$239</f>
        <v>3.395</v>
      </c>
      <c r="L198" s="6">
        <f ca="1">IF(L$6=OFFSET(Assumptions!$B$8,0,$C$1),AVERAGE(I$198/SUM(I$198,I$205,I$215),J$198/SUM(J$198,J$205,J$215),K$198/SUM(K$198,K$205,K$215)),K$198/SUM(K$198,K$205,K$215))*SUM(L$280,L$318-L$230)</f>
        <v>3.5842846649242777</v>
      </c>
      <c r="M198" s="6">
        <f ca="1">IF(M$6=OFFSET(Assumptions!$B$8,0,$C$1),AVERAGE(J$198/SUM(J$198,J$205,J$215),K$198/SUM(K$198,K$205,K$215),L$198/SUM(L$198,L$205,L$215)),L$198/SUM(L$198,L$205,L$215))*SUM(M$280,M$318-M$230)</f>
        <v>3.7477100887213868</v>
      </c>
      <c r="N198" s="6">
        <f ca="1">IF(N$6=OFFSET(Assumptions!$B$8,0,$C$1),AVERAGE(K$198/SUM(K$198,K$205,K$215),L$198/SUM(L$198,L$205,L$215),M$198/SUM(M$198,M$205,M$215)),M$198/SUM(M$198,M$205,M$215))*SUM(N$280,N$318-N$230)</f>
        <v>3.914704465570523</v>
      </c>
      <c r="O198" s="6">
        <f ca="1">IF(O$6=OFFSET(Assumptions!$B$8,0,$C$1),AVERAGE(L$198/SUM(L$198,L$205,L$215),M$198/SUM(M$198,M$205,M$215),N$198/SUM(N$198,N$205,N$215)),N$198/SUM(N$198,N$205,N$215))*SUM(O$280,O$318-O$230)</f>
        <v>4.0859740551910582</v>
      </c>
      <c r="P198" s="6">
        <f ca="1">IF(P$6=OFFSET(Assumptions!$B$8,0,$C$1),AVERAGE(M$198/SUM(M$198,M$205,M$215),N$198/SUM(N$198,N$205,N$215),O$198/SUM(O$198,O$205,O$215)),O$198/SUM(O$198,O$205,O$215))*SUM(P$280,P$318-P$230)</f>
        <v>4.2630576057392915</v>
      </c>
      <c r="Q198" s="6">
        <f ca="1">IF(Q$6=OFFSET(Assumptions!$B$8,0,$C$1),AVERAGE(N$198/SUM(N$198,N$205,N$215),O$198/SUM(O$198,O$205,O$215),P$198/SUM(P$198,P$205,P$215)),P$198/SUM(P$198,P$205,P$215))*SUM(Q$280,Q$318-Q$230)</f>
        <v>4.4462389540797274</v>
      </c>
      <c r="R198" s="6">
        <f ca="1">IF(R$6=OFFSET(Assumptions!$B$8,0,$C$1),AVERAGE(O$198/SUM(O$198,O$205,O$215),P$198/SUM(P$198,P$205,P$215),Q$198/SUM(Q$198,Q$205,Q$215)),Q$198/SUM(Q$198,Q$205,Q$215))*SUM(R$280,R$318-R$230)</f>
        <v>4.6351999634698027</v>
      </c>
      <c r="S198" s="6">
        <f ca="1">IF(S$6=OFFSET(Assumptions!$B$8,0,$C$1),AVERAGE(P$198/SUM(P$198,P$205,P$215),Q$198/SUM(Q$198,Q$205,Q$215),R$198/SUM(R$198,R$205,R$215)),R$198/SUM(R$198,R$205,R$215))*SUM(S$280,S$318-S$230)</f>
        <v>4.8305091690802389</v>
      </c>
      <c r="T198" s="6">
        <f ca="1">IF(T$6=OFFSET(Assumptions!$B$8,0,$C$1),AVERAGE(Q$198/SUM(Q$198,Q$205,Q$215),R$198/SUM(R$198,R$205,R$215),S$198/SUM(S$198,S$205,S$215)),S$198/SUM(S$198,S$205,S$215))*SUM(T$280,T$318-T$230)</f>
        <v>5.0323403297241311</v>
      </c>
      <c r="U198" s="6">
        <f ca="1">IF(U$6=OFFSET(Assumptions!$B$8,0,$C$1),AVERAGE(R$198/SUM(R$198,R$205,R$215),S$198/SUM(S$198,S$205,S$215),T$198/SUM(T$198,T$205,T$215)),T$198/SUM(T$198,T$205,T$215))*SUM(U$280,U$318-U$230)</f>
        <v>5.2413036195118421</v>
      </c>
    </row>
    <row r="199" spans="1:21" x14ac:dyDescent="0.2">
      <c r="A199" s="1" t="s">
        <v>484</v>
      </c>
      <c r="B199" s="4" t="str">
        <f>$B$37</f>
        <v>From Fiscal</v>
      </c>
      <c r="D199" s="14">
        <f>'Fiscal Forecasts'!D$240</f>
        <v>-2.3E-2</v>
      </c>
      <c r="E199" s="14">
        <f>'Fiscal Forecasts'!E$240</f>
        <v>-2.9000000000000001E-2</v>
      </c>
      <c r="F199" s="14">
        <f>'Fiscal Forecasts'!F$240</f>
        <v>-3.7999999999999999E-2</v>
      </c>
      <c r="G199" s="15">
        <f>'Fiscal Forecasts'!G$240</f>
        <v>-3.5000000000000003E-2</v>
      </c>
      <c r="H199" s="15">
        <f>'Fiscal Forecasts'!H$240</f>
        <v>-3.4999999999999996E-2</v>
      </c>
      <c r="I199" s="15">
        <f>'Fiscal Forecasts'!I$240</f>
        <v>-3.5999999999999997E-2</v>
      </c>
      <c r="J199" s="15">
        <f>'Fiscal Forecasts'!J$240</f>
        <v>-3.6999999999999998E-2</v>
      </c>
      <c r="K199" s="15">
        <f>'Fiscal Forecasts'!K$240</f>
        <v>-3.5999999999999997E-2</v>
      </c>
      <c r="L199" s="6">
        <f ca="1">IF(L$6=OFFSET(Assumptions!$B$8,0,$C$1),AVERAGE(I$199/SUM(I$199,I$216),J$199/SUM(J$199,J$216),K$199/SUM(K$199,K$216)),K$199/SUM(K$199,K$216))*SUM(L$187,L$249,L$258,L$281,L$319)</f>
        <v>-3.7385674131876781E-2</v>
      </c>
      <c r="M199" s="6">
        <f ca="1">IF(M$6=OFFSET(Assumptions!$B$8,0,$C$1),AVERAGE(J$199/SUM(J$199,J$216),K$199/SUM(K$199,K$216),L$199/SUM(L$199,L$216)),L$199/SUM(L$199,L$216))*SUM(M$187,M$249,M$258,M$281,M$319)</f>
        <v>-3.8081188619262581E-2</v>
      </c>
      <c r="N199" s="6">
        <f ca="1">IF(N$6=OFFSET(Assumptions!$B$8,0,$C$1),AVERAGE(K$199/SUM(K$199,K$216),L$199/SUM(L$199,L$216),M$199/SUM(M$199,M$216)),M$199/SUM(M$199,M$216))*SUM(N$187,N$249,N$258,N$281,N$319)</f>
        <v>-3.8487358351150171E-2</v>
      </c>
      <c r="O199" s="6">
        <f ca="1">IF(O$6=OFFSET(Assumptions!$B$8,0,$C$1),AVERAGE(L$199/SUM(L$199,L$216),M$199/SUM(M$199,M$216),N$199/SUM(N$199,N$216)),N$199/SUM(N$199,N$216))*SUM(O$187,O$249,O$258,O$281,O$319)</f>
        <v>-3.8906285509896506E-2</v>
      </c>
      <c r="P199" s="6">
        <f ca="1">IF(P$6=OFFSET(Assumptions!$B$8,0,$C$1),AVERAGE(M$199/SUM(M$199,M$216),N$199/SUM(N$199,N$216),O$199/SUM(O$199,O$216)),O$199/SUM(O$199,O$216))*SUM(P$187,P$249,P$258,P$281,P$319)</f>
        <v>-3.9341017044869038E-2</v>
      </c>
      <c r="Q199" s="6">
        <f ca="1">IF(Q$6=OFFSET(Assumptions!$B$8,0,$C$1),AVERAGE(N$199/SUM(N$199,N$216),O$199/SUM(O$199,O$216),P$199/SUM(P$199,P$216)),P$199/SUM(P$199,P$216))*SUM(Q$187,Q$249,Q$258,Q$281,Q$319)</f>
        <v>-3.9790188757259391E-2</v>
      </c>
      <c r="R199" s="6">
        <f ca="1">IF(R$6=OFFSET(Assumptions!$B$8,0,$C$1),AVERAGE(O$199/SUM(O$199,O$216),P$199/SUM(P$199,P$216),Q$199/SUM(Q$199,Q$216)),Q$199/SUM(Q$199,Q$216))*SUM(R$187,R$249,R$258,R$281,R$319)</f>
        <v>-4.025823083133423E-2</v>
      </c>
      <c r="S199" s="6">
        <f ca="1">IF(S$6=OFFSET(Assumptions!$B$8,0,$C$1),AVERAGE(P$199/SUM(P$199,P$216),Q$199/SUM(Q$199,Q$216),R$199/SUM(R$199,R$216)),R$199/SUM(R$199,R$216))*SUM(S$187,S$249,S$258,S$281,S$319)</f>
        <v>-4.0735847863839166E-2</v>
      </c>
      <c r="T199" s="6">
        <f ca="1">IF(T$6=OFFSET(Assumptions!$B$8,0,$C$1),AVERAGE(Q$199/SUM(Q$199,Q$216),R$199/SUM(R$199,R$216),S$199/SUM(S$199,S$216)),S$199/SUM(S$199,S$216))*SUM(T$187,T$249,T$258,T$281,T$319)</f>
        <v>-4.1230874892094191E-2</v>
      </c>
      <c r="U199" s="6">
        <f ca="1">IF(U$6=OFFSET(Assumptions!$B$8,0,$C$1),AVERAGE(R$199/SUM(R$199,R$216),S$199/SUM(S$199,S$216),T$199/SUM(T$199,T$216)),T$199/SUM(T$199,T$216))*SUM(U$187,U$249,U$258,U$281,U$319)</f>
        <v>-4.1744844076281193E-2</v>
      </c>
    </row>
    <row r="200" spans="1:21" ht="15" x14ac:dyDescent="0.25">
      <c r="A200" s="2" t="s">
        <v>485</v>
      </c>
      <c r="D200" s="34">
        <f t="shared" ref="D200:U200" si="116">SUM(D$196:D$199)</f>
        <v>21.123999999999999</v>
      </c>
      <c r="E200" s="34">
        <f t="shared" si="116"/>
        <v>21.763000000000002</v>
      </c>
      <c r="F200" s="34">
        <f t="shared" si="116"/>
        <v>22.599</v>
      </c>
      <c r="G200" s="33">
        <f t="shared" si="116"/>
        <v>23.669</v>
      </c>
      <c r="H200" s="33">
        <f t="shared" si="116"/>
        <v>24.369</v>
      </c>
      <c r="I200" s="33">
        <f t="shared" si="116"/>
        <v>24.569999999999997</v>
      </c>
      <c r="J200" s="33">
        <f t="shared" si="116"/>
        <v>25.058</v>
      </c>
      <c r="K200" s="33">
        <f t="shared" si="116"/>
        <v>25.119</v>
      </c>
      <c r="L200" s="37">
        <f t="shared" ca="1" si="116"/>
        <v>25.696802071742788</v>
      </c>
      <c r="M200" s="37">
        <f t="shared" ca="1" si="116"/>
        <v>26.188480479367282</v>
      </c>
      <c r="N200" s="37">
        <f t="shared" ca="1" si="116"/>
        <v>26.580778627036079</v>
      </c>
      <c r="O200" s="37">
        <f t="shared" ca="1" si="116"/>
        <v>26.983433260714051</v>
      </c>
      <c r="P200" s="37">
        <f t="shared" ca="1" si="116"/>
        <v>27.399996928627342</v>
      </c>
      <c r="Q200" s="37">
        <f t="shared" ca="1" si="116"/>
        <v>27.827663423438704</v>
      </c>
      <c r="R200" s="37">
        <f t="shared" ca="1" si="116"/>
        <v>28.26413600555497</v>
      </c>
      <c r="S200" s="37">
        <f t="shared" ca="1" si="116"/>
        <v>28.715009902725978</v>
      </c>
      <c r="T200" s="37">
        <f t="shared" ca="1" si="116"/>
        <v>29.180668767484558</v>
      </c>
      <c r="U200" s="37">
        <f t="shared" ca="1" si="116"/>
        <v>29.663631197068781</v>
      </c>
    </row>
    <row r="201" spans="1:21" ht="15" x14ac:dyDescent="0.25">
      <c r="A201" s="2"/>
      <c r="D201" s="46"/>
      <c r="E201" s="46"/>
      <c r="F201" s="46"/>
      <c r="G201" s="47"/>
      <c r="H201" s="47"/>
      <c r="I201" s="47"/>
      <c r="J201" s="47"/>
      <c r="K201" s="47"/>
      <c r="L201" s="47"/>
      <c r="M201" s="47"/>
      <c r="N201" s="47"/>
      <c r="O201" s="47"/>
      <c r="P201" s="47"/>
      <c r="Q201" s="47"/>
      <c r="R201" s="47"/>
      <c r="S201" s="47"/>
      <c r="T201" s="47"/>
      <c r="U201" s="47"/>
    </row>
    <row r="202" spans="1:21" x14ac:dyDescent="0.2">
      <c r="A202" s="18" t="s">
        <v>1246</v>
      </c>
    </row>
    <row r="203" spans="1:21" x14ac:dyDescent="0.2">
      <c r="A203" s="1" t="s">
        <v>298</v>
      </c>
      <c r="B203" s="4" t="str">
        <f>$B$37</f>
        <v>From Fiscal</v>
      </c>
      <c r="D203" s="14">
        <f>'Fiscal Forecasts'!D$243</f>
        <v>1.2509999999999999</v>
      </c>
      <c r="E203" s="14">
        <f>'Fiscal Forecasts'!E$243</f>
        <v>1.306</v>
      </c>
      <c r="F203" s="14">
        <f>'Fiscal Forecasts'!F$243</f>
        <v>1.36</v>
      </c>
      <c r="G203" s="15">
        <f>'Fiscal Forecasts'!G$243</f>
        <v>1.4570000000000001</v>
      </c>
      <c r="H203" s="15">
        <f>'Fiscal Forecasts'!H$243</f>
        <v>1.5169999999999999</v>
      </c>
      <c r="I203" s="15">
        <f>'Fiscal Forecasts'!I$243</f>
        <v>1.569</v>
      </c>
      <c r="J203" s="15">
        <f>'Fiscal Forecasts'!J$243</f>
        <v>1.583</v>
      </c>
      <c r="K203" s="15">
        <f>'Fiscal Forecasts'!K$243</f>
        <v>1.6120000000000001</v>
      </c>
      <c r="L203" s="6">
        <f ca="1">L$414</f>
        <v>1.7973708696428234</v>
      </c>
      <c r="M203" s="6">
        <f t="shared" ref="M203:U203" ca="1" si="117">M$414</f>
        <v>1.9382766800531039</v>
      </c>
      <c r="N203" s="6">
        <f t="shared" ca="1" si="117"/>
        <v>2.1396382047744962</v>
      </c>
      <c r="O203" s="6">
        <f t="shared" ca="1" si="117"/>
        <v>2.3993109580861756</v>
      </c>
      <c r="P203" s="6">
        <f t="shared" ca="1" si="117"/>
        <v>2.714039059697011</v>
      </c>
      <c r="Q203" s="6">
        <f t="shared" ca="1" si="117"/>
        <v>3.0840080177976055</v>
      </c>
      <c r="R203" s="6">
        <f t="shared" ca="1" si="117"/>
        <v>3.4706255790127267</v>
      </c>
      <c r="S203" s="6">
        <f t="shared" ca="1" si="117"/>
        <v>3.8746409304825287</v>
      </c>
      <c r="T203" s="6">
        <f t="shared" ca="1" si="117"/>
        <v>4.296836972768471</v>
      </c>
      <c r="U203" s="6">
        <f t="shared" ca="1" si="117"/>
        <v>4.7380318369572816</v>
      </c>
    </row>
    <row r="204" spans="1:21" x14ac:dyDescent="0.2">
      <c r="A204" s="1" t="s">
        <v>272</v>
      </c>
      <c r="B204" s="4" t="str">
        <f>$B$37</f>
        <v>From Fiscal</v>
      </c>
      <c r="D204" s="14">
        <f>'Fiscal Forecasts'!D$244</f>
        <v>1.4319999999999999</v>
      </c>
      <c r="E204" s="14">
        <f>'Fiscal Forecasts'!E$244</f>
        <v>1.367</v>
      </c>
      <c r="F204" s="14">
        <f>'Fiscal Forecasts'!F$244</f>
        <v>1.3540000000000001</v>
      </c>
      <c r="G204" s="15">
        <f>'Fiscal Forecasts'!G$244</f>
        <v>1.4350000000000001</v>
      </c>
      <c r="H204" s="15">
        <f>'Fiscal Forecasts'!H$244</f>
        <v>1.466</v>
      </c>
      <c r="I204" s="15">
        <f>'Fiscal Forecasts'!I$244</f>
        <v>1.5069999999999999</v>
      </c>
      <c r="J204" s="15">
        <f>'Fiscal Forecasts'!J$244</f>
        <v>1.554</v>
      </c>
      <c r="K204" s="15">
        <f>'Fiscal Forecasts'!K$244</f>
        <v>1.589</v>
      </c>
      <c r="L204" s="6">
        <f ca="1">IF(L$6=OFFSET(Assumptions!$B$8,0,$C$1),AVERAGE(I$204/SUM(I$204,I$205),J$204/SUM(J$204,J$205),K$204/SUM(K$204,K$205)),K$204/SUM(K$204,K$205))*(L$417-L$414)</f>
        <v>1.5955789385163859</v>
      </c>
      <c r="M204" s="6">
        <f ca="1">IF(M$6=OFFSET(Assumptions!$B$8,0,$C$1),AVERAGE(J$204/SUM(J$204,J$205),K$204/SUM(K$204,K$205),L$204/SUM(L$204,L$205)),L$204/SUM(L$204,L$205))*(M$417-M$414)</f>
        <v>1.6131866377380739</v>
      </c>
      <c r="N204" s="6">
        <f ca="1">IF(N$6=OFFSET(Assumptions!$B$8,0,$C$1),AVERAGE(K$204/SUM(K$204,K$205),L$204/SUM(L$204,L$205),M$204/SUM(M$204,M$205)),M$204/SUM(M$204,M$205))*(N$417-N$414)</f>
        <v>1.6330401588545587</v>
      </c>
      <c r="O204" s="6">
        <f ca="1">IF(O$6=OFFSET(Assumptions!$B$8,0,$C$1),AVERAGE(L$204/SUM(L$204,L$205),M$204/SUM(M$204,M$205),N$204/SUM(N$204,N$205)),N$204/SUM(N$204,N$205))*(O$417-O$414)</f>
        <v>1.6537783193062745</v>
      </c>
      <c r="P204" s="6">
        <f ca="1">IF(P$6=OFFSET(Assumptions!$B$8,0,$C$1),AVERAGE(M$204/SUM(M$204,M$205),N$204/SUM(N$204,N$205),O$204/SUM(O$204,O$205)),O$204/SUM(O$204,O$205))*(P$417-P$414)</f>
        <v>1.675423771105474</v>
      </c>
      <c r="Q204" s="6">
        <f ca="1">IF(Q$6=OFFSET(Assumptions!$B$8,0,$C$1),AVERAGE(N$204/SUM(N$204,N$205),O$204/SUM(O$204,O$205),P$204/SUM(P$204,P$205)),P$204/SUM(P$204,P$205))*(Q$417-Q$414)</f>
        <v>1.6980073240643938</v>
      </c>
      <c r="R204" s="6">
        <f ca="1">IF(R$6=OFFSET(Assumptions!$B$8,0,$C$1),AVERAGE(O$204/SUM(O$204,O$205),P$204/SUM(P$204,P$205),Q$204/SUM(Q$204,Q$205)),Q$204/SUM(Q$204,Q$205))*(R$417-R$414)</f>
        <v>1.7215612824192739</v>
      </c>
      <c r="S204" s="6">
        <f ca="1">IF(S$6=OFFSET(Assumptions!$B$8,0,$C$1),AVERAGE(P$204/SUM(P$204,P$205),Q$204/SUM(Q$204,Q$205),R$204/SUM(R$204,R$205)),R$204/SUM(R$204,R$205))*(S$417-S$414)</f>
        <v>1.7461162806618027</v>
      </c>
      <c r="T204" s="6">
        <f ca="1">IF(T$6=OFFSET(Assumptions!$B$8,0,$C$1),AVERAGE(Q$204/SUM(Q$204,Q$205),R$204/SUM(R$204,R$205),S$204/SUM(S$204,S$205)),S$204/SUM(S$204,S$205))*(T$417-T$414)</f>
        <v>1.7717059346646908</v>
      </c>
      <c r="U204" s="6">
        <f ca="1">IF(U$6=OFFSET(Assumptions!$B$8,0,$C$1),AVERAGE(R$204/SUM(R$204,R$205),S$204/SUM(S$204,S$205),T$204/SUM(T$204,T$205)),T$204/SUM(T$204,T$205))*(U$417-U$414)</f>
        <v>1.7983648018157361</v>
      </c>
    </row>
    <row r="205" spans="1:21" x14ac:dyDescent="0.2">
      <c r="A205" s="1" t="s">
        <v>483</v>
      </c>
      <c r="B205" s="4" t="str">
        <f>$B$37</f>
        <v>From Fiscal</v>
      </c>
      <c r="D205" s="14">
        <f>'Fiscal Forecasts'!D$245</f>
        <v>1.3620000000000001</v>
      </c>
      <c r="E205" s="14">
        <f>'Fiscal Forecasts'!E$245</f>
        <v>1.494</v>
      </c>
      <c r="F205" s="14">
        <f>'Fiscal Forecasts'!F$245</f>
        <v>1.647</v>
      </c>
      <c r="G205" s="15">
        <f>'Fiscal Forecasts'!G$245</f>
        <v>1.885</v>
      </c>
      <c r="H205" s="15">
        <f>'Fiscal Forecasts'!H$245</f>
        <v>1.857</v>
      </c>
      <c r="I205" s="15">
        <f>'Fiscal Forecasts'!I$245</f>
        <v>1.774</v>
      </c>
      <c r="J205" s="15">
        <f>'Fiscal Forecasts'!J$245</f>
        <v>1.784</v>
      </c>
      <c r="K205" s="15">
        <f>'Fiscal Forecasts'!K$245</f>
        <v>1.782</v>
      </c>
      <c r="L205" s="6">
        <f ca="1">IF(L$6=OFFSET(Assumptions!$B$8,0,$C$1),AVERAGE(I$205/SUM(I$204,I$205),J$205/SUM(J$204,J$205),K$205/SUM(K$204,K$205)),K$205/SUM(K$204,K$205))*(L$417-L$414)</f>
        <v>1.8327436738501846</v>
      </c>
      <c r="M205" s="6">
        <f ca="1">IF(M$6=OFFSET(Assumptions!$B$8,0,$C$1),AVERAGE(J$205/SUM(J$204,J$205),K$205/SUM(K$204,K$205),L$205/SUM(L$204,L$205)),L$205/SUM(L$204,L$205))*(M$417-M$414)</f>
        <v>1.8529685581104463</v>
      </c>
      <c r="N205" s="6">
        <f ca="1">IF(N$6=OFFSET(Assumptions!$B$8,0,$C$1),AVERAGE(K$205/SUM(K$204,K$205),L$205/SUM(L$204,L$205),M$205/SUM(M$204,M$205)),M$205/SUM(M$204,M$205))*(N$417-N$414)</f>
        <v>1.8757730802506805</v>
      </c>
      <c r="O205" s="6">
        <f ca="1">IF(O$6=OFFSET(Assumptions!$B$8,0,$C$1),AVERAGE(L$205/SUM(L$204,L$205),M$205/SUM(M$204,M$205),N$205/SUM(N$204,N$205)),N$205/SUM(N$204,N$205))*(O$417-O$414)</f>
        <v>1.8995937333426005</v>
      </c>
      <c r="P205" s="6">
        <f ca="1">IF(P$6=OFFSET(Assumptions!$B$8,0,$C$1),AVERAGE(M$205/SUM(M$204,M$205),N$205/SUM(N$204,N$205),O$205/SUM(O$204,O$205)),O$205/SUM(O$204,O$205))*(P$417-P$414)</f>
        <v>1.9244565363634893</v>
      </c>
      <c r="Q205" s="6">
        <f ca="1">IF(Q$6=OFFSET(Assumptions!$B$8,0,$C$1),AVERAGE(N$205/SUM(N$204,N$205),O$205/SUM(O$204,O$205),P$205/SUM(P$204,P$205)),P$205/SUM(P$204,P$205))*(Q$417-Q$414)</f>
        <v>1.950396878655176</v>
      </c>
      <c r="R205" s="6">
        <f ca="1">IF(R$6=OFFSET(Assumptions!$B$8,0,$C$1),AVERAGE(O$205/SUM(O$204,O$205),P$205/SUM(P$204,P$205),Q$205/SUM(Q$204,Q$205)),Q$205/SUM(Q$204,Q$205))*(R$417-R$414)</f>
        <v>1.9774518661126914</v>
      </c>
      <c r="S205" s="6">
        <f ca="1">IF(S$6=OFFSET(Assumptions!$B$8,0,$C$1),AVERAGE(P$205/SUM(P$204,P$205),Q$205/SUM(Q$204,Q$205),R$205/SUM(R$204,R$205)),R$205/SUM(R$204,R$205))*(S$417-S$414)</f>
        <v>2.0056566866979031</v>
      </c>
      <c r="T205" s="6">
        <f ca="1">IF(T$6=OFFSET(Assumptions!$B$8,0,$C$1),AVERAGE(Q$205/SUM(Q$204,Q$205),R$205/SUM(R$204,R$205),S$205/SUM(S$204,S$205)),S$205/SUM(S$204,S$205))*(T$417-T$414)</f>
        <v>2.035049952902217</v>
      </c>
      <c r="U205" s="6">
        <f ca="1">IF(U$6=OFFSET(Assumptions!$B$8,0,$C$1),AVERAGE(R$205/SUM(R$204,R$205),S$205/SUM(S$204,S$205),T$205/SUM(T$204,T$205)),T$205/SUM(T$204,T$205))*(U$417-U$414)</f>
        <v>2.0656713586776787</v>
      </c>
    </row>
    <row r="206" spans="1:21" ht="15" x14ac:dyDescent="0.25">
      <c r="A206" s="2" t="s">
        <v>1280</v>
      </c>
      <c r="D206" s="34">
        <f t="shared" ref="D206:U206" si="118">SUM(D$203:D$205)</f>
        <v>4.0449999999999999</v>
      </c>
      <c r="E206" s="34">
        <f t="shared" si="118"/>
        <v>4.1669999999999998</v>
      </c>
      <c r="F206" s="34">
        <f t="shared" si="118"/>
        <v>4.3610000000000007</v>
      </c>
      <c r="G206" s="33">
        <f t="shared" si="118"/>
        <v>4.7770000000000001</v>
      </c>
      <c r="H206" s="33">
        <f t="shared" si="118"/>
        <v>4.84</v>
      </c>
      <c r="I206" s="33">
        <f t="shared" si="118"/>
        <v>4.8499999999999996</v>
      </c>
      <c r="J206" s="33">
        <f t="shared" si="118"/>
        <v>4.9210000000000003</v>
      </c>
      <c r="K206" s="33">
        <f t="shared" si="118"/>
        <v>4.9830000000000005</v>
      </c>
      <c r="L206" s="37">
        <f t="shared" ca="1" si="118"/>
        <v>5.2256934820093939</v>
      </c>
      <c r="M206" s="37">
        <f t="shared" ca="1" si="118"/>
        <v>5.4044318759016239</v>
      </c>
      <c r="N206" s="37">
        <f t="shared" ca="1" si="118"/>
        <v>5.6484514438797353</v>
      </c>
      <c r="O206" s="37">
        <f t="shared" ca="1" si="118"/>
        <v>5.9526830107350506</v>
      </c>
      <c r="P206" s="37">
        <f t="shared" ca="1" si="118"/>
        <v>6.3139193671659744</v>
      </c>
      <c r="Q206" s="37">
        <f t="shared" ca="1" si="118"/>
        <v>6.7324122205171752</v>
      </c>
      <c r="R206" s="37">
        <f t="shared" ca="1" si="118"/>
        <v>7.169638727544692</v>
      </c>
      <c r="S206" s="37">
        <f t="shared" ca="1" si="118"/>
        <v>7.6264138978422347</v>
      </c>
      <c r="T206" s="37">
        <f t="shared" ca="1" si="118"/>
        <v>8.1035928603353788</v>
      </c>
      <c r="U206" s="37">
        <f t="shared" ca="1" si="118"/>
        <v>8.6020679974506962</v>
      </c>
    </row>
    <row r="207" spans="1:21" ht="15" x14ac:dyDescent="0.25">
      <c r="A207" s="2"/>
      <c r="D207" s="46"/>
      <c r="E207" s="46"/>
      <c r="F207" s="46"/>
      <c r="G207" s="47"/>
      <c r="H207" s="47"/>
      <c r="I207" s="47"/>
      <c r="J207" s="47"/>
      <c r="K207" s="47"/>
      <c r="L207" s="48"/>
      <c r="M207" s="48"/>
      <c r="N207" s="48"/>
      <c r="O207" s="48"/>
      <c r="P207" s="48"/>
      <c r="Q207" s="48"/>
      <c r="R207" s="48"/>
      <c r="S207" s="48"/>
      <c r="T207" s="48"/>
      <c r="U207" s="48"/>
    </row>
    <row r="208" spans="1:21" ht="15" x14ac:dyDescent="0.25">
      <c r="A208" s="18" t="s">
        <v>1281</v>
      </c>
      <c r="D208" s="48"/>
      <c r="E208" s="48"/>
      <c r="F208" s="48"/>
      <c r="G208" s="48"/>
      <c r="H208" s="48"/>
      <c r="I208" s="48"/>
      <c r="J208" s="48"/>
      <c r="K208" s="48"/>
      <c r="L208" s="48"/>
      <c r="M208" s="48"/>
      <c r="N208" s="48"/>
      <c r="O208" s="48"/>
      <c r="P208" s="48"/>
      <c r="Q208" s="48"/>
      <c r="R208" s="48"/>
      <c r="S208" s="48"/>
      <c r="T208" s="48"/>
      <c r="U208" s="48"/>
    </row>
    <row r="209" spans="1:21" ht="15" x14ac:dyDescent="0.25">
      <c r="A209" s="2" t="s">
        <v>1305</v>
      </c>
      <c r="B209" s="4" t="str">
        <f>$B$37</f>
        <v>From Fiscal</v>
      </c>
      <c r="D209" s="39">
        <f>'Fiscal Forecasts'!D$248</f>
        <v>0.19000000000000017</v>
      </c>
      <c r="E209" s="39">
        <f>'Fiscal Forecasts'!E$248</f>
        <v>0.22299999999999986</v>
      </c>
      <c r="F209" s="39">
        <f>'Fiscal Forecasts'!F$248</f>
        <v>0.24399999999999999</v>
      </c>
      <c r="G209" s="38">
        <f>'Fiscal Forecasts'!G$248</f>
        <v>0.27300000000000002</v>
      </c>
      <c r="H209" s="38">
        <f>'Fiscal Forecasts'!H$248</f>
        <v>0.30499999999999999</v>
      </c>
      <c r="I209" s="38">
        <f>'Fiscal Forecasts'!I$248</f>
        <v>0.316</v>
      </c>
      <c r="J209" s="38">
        <f>'Fiscal Forecasts'!J$248</f>
        <v>0.312</v>
      </c>
      <c r="K209" s="38">
        <f>'Fiscal Forecasts'!K$248</f>
        <v>0.32500000000000001</v>
      </c>
      <c r="L209" s="7">
        <f ca="1">IF(L$6=OFFSET(Assumptions!$B$8,0,$C$1),AVERAGE(I$209/I$426,J$209/J$426,K$209/K$426),K$209/K$426)*L$426</f>
        <v>0.33424608545268103</v>
      </c>
      <c r="M209" s="7">
        <f ca="1">IF(M$6=OFFSET(Assumptions!$B$8,0,$C$1),AVERAGE(J$209/J$426,K$209/K$426,L$209/L$426),L$209/L$426)*M$426</f>
        <v>0.35529343010968761</v>
      </c>
      <c r="N209" s="7">
        <f ca="1">IF(N$6=OFFSET(Assumptions!$B$8,0,$C$1),AVERAGE(K$209/K$426,L$209/L$426,M$209/M$426),M$209/M$426)*N$426</f>
        <v>0.37567408175748279</v>
      </c>
      <c r="O209" s="7">
        <f ca="1">IF(O$6=OFFSET(Assumptions!$B$8,0,$C$1),AVERAGE(L$209/L$426,M$209/M$426,N$209/N$426),N$209/N$426)*O$426</f>
        <v>0.3952753731262037</v>
      </c>
      <c r="P209" s="7">
        <f ca="1">IF(P$6=OFFSET(Assumptions!$B$8,0,$C$1),AVERAGE(M$209/M$426,N$209/N$426,O$209/O$426),O$209/O$426)*P$426</f>
        <v>0.41405777715894332</v>
      </c>
      <c r="Q209" s="7">
        <f ca="1">IF(Q$6=OFFSET(Assumptions!$B$8,0,$C$1),AVERAGE(N$209/N$426,O$209/O$426,P$209/P$426),P$209/P$426)*Q$426</f>
        <v>0.43184965879621229</v>
      </c>
      <c r="R209" s="7">
        <f ca="1">IF(R$6=OFFSET(Assumptions!$B$8,0,$C$1),AVERAGE(O$209/O$426,P$209/P$426,Q$209/Q$426),Q$209/Q$426)*R$426</f>
        <v>0.45020320801327157</v>
      </c>
      <c r="S209" s="7">
        <f ca="1">IF(S$6=OFFSET(Assumptions!$B$8,0,$C$1),AVERAGE(P$209/P$426,Q$209/Q$426,R$209/R$426),R$209/R$426)*S$426</f>
        <v>0.46917308689098564</v>
      </c>
      <c r="T209" s="7">
        <f ca="1">IF(T$6=OFFSET(Assumptions!$B$8,0,$C$1),AVERAGE(Q$209/Q$426,R$209/R$426,S$209/S$426),S$209/S$426)*T$426</f>
        <v>0.4887765576221052</v>
      </c>
      <c r="U209" s="7">
        <f ca="1">IF(U$6=OFFSET(Assumptions!$B$8,0,$C$1),AVERAGE(R$209/R$426,S$209/S$426,T$209/T$426),T$209/T$426)*U$426</f>
        <v>0.50907288034865228</v>
      </c>
    </row>
    <row r="210" spans="1:21" ht="15" x14ac:dyDescent="0.25">
      <c r="A210" s="2" t="s">
        <v>1282</v>
      </c>
      <c r="B210" s="4" t="str">
        <f>$B$37</f>
        <v>From Fiscal</v>
      </c>
      <c r="D210" s="39">
        <f>-'Fiscal Forecasts'!D$98</f>
        <v>0.79700000000000004</v>
      </c>
      <c r="E210" s="39">
        <f>-'Fiscal Forecasts'!E$98</f>
        <v>0.70799999999999996</v>
      </c>
      <c r="F210" s="39">
        <f>-'Fiscal Forecasts'!F$98</f>
        <v>0.81399999999999995</v>
      </c>
      <c r="G210" s="38">
        <f>-'Fiscal Forecasts'!G$98</f>
        <v>0.72</v>
      </c>
      <c r="H210" s="38">
        <f>-'Fiscal Forecasts'!H$98</f>
        <v>0.72899999999999998</v>
      </c>
      <c r="I210" s="38">
        <f>-'Fiscal Forecasts'!I$98</f>
        <v>0.72499999999999998</v>
      </c>
      <c r="J210" s="38">
        <f>-'Fiscal Forecasts'!J$98</f>
        <v>0.73099999999999998</v>
      </c>
      <c r="K210" s="38">
        <f>-'Fiscal Forecasts'!K$98</f>
        <v>0.751</v>
      </c>
      <c r="L210" s="7">
        <f ca="1">IF(L$6=OFFSET(Assumptions!$B$8,0,$C$1),AVERAGE(I$210/I$429,J$210/J$429,K$210/K$429),K$210/K$429)*L$429</f>
        <v>0.77863412044996039</v>
      </c>
      <c r="M210" s="7">
        <f ca="1">IF(M$6=OFFSET(Assumptions!$B$8,0,$C$1),AVERAGE(J$210/J$429,K$210/K$429,L$210/L$429),L$210/L$429)*M$429</f>
        <v>0.82547983124444568</v>
      </c>
      <c r="N210" s="7">
        <f ca="1">IF(N$6=OFFSET(Assumptions!$B$8,0,$C$1),AVERAGE(K$210/K$429,L$210/L$429,M$210/M$429),M$210/M$429)*N$429</f>
        <v>0.87114826183628291</v>
      </c>
      <c r="O210" s="7">
        <f ca="1">IF(O$6=OFFSET(Assumptions!$B$8,0,$C$1),AVERAGE(L$210/L$429,M$210/M$429,N$210/N$429),N$210/N$429)*O$429</f>
        <v>0.91544434872048175</v>
      </c>
      <c r="P210" s="7">
        <f ca="1">IF(P$6=OFFSET(Assumptions!$B$8,0,$C$1),AVERAGE(M$210/M$429,N$210/N$429,O$210/O$429),O$210/O$429)*P$429</f>
        <v>0.95834490489573432</v>
      </c>
      <c r="Q210" s="7">
        <f ca="1">IF(Q$6=OFFSET(Assumptions!$B$8,0,$C$1),AVERAGE(N$210/N$429,O$210/O$429,P$210/P$429),P$210/P$429)*Q$429</f>
        <v>0.99952456642166543</v>
      </c>
      <c r="R210" s="7">
        <f ca="1">IF(R$6=OFFSET(Assumptions!$B$8,0,$C$1),AVERAGE(O$210/O$429,P$210/P$429,Q$210/Q$429),Q$210/Q$429)*R$429</f>
        <v>1.0420042186566965</v>
      </c>
      <c r="S210" s="7">
        <f ca="1">IF(S$6=OFFSET(Assumptions!$B$8,0,$C$1),AVERAGE(P$210/P$429,Q$210/Q$429,R$210/R$429),R$210/R$429)*S$429</f>
        <v>1.0859103780668309</v>
      </c>
      <c r="T210" s="7">
        <f ca="1">IF(T$6=OFFSET(Assumptions!$B$8,0,$C$1),AVERAGE(Q$210/Q$429,R$210/R$429,S$210/S$429),S$210/S$429)*T$429</f>
        <v>1.1312829983382029</v>
      </c>
      <c r="U210" s="7">
        <f ca="1">IF(U$6=OFFSET(Assumptions!$B$8,0,$C$1),AVERAGE(R$210/R$429,S$210/S$429,T$210/T$429),T$210/T$429)*U$429</f>
        <v>1.1782592382401993</v>
      </c>
    </row>
    <row r="211" spans="1:21" ht="15" x14ac:dyDescent="0.25">
      <c r="A211" s="2"/>
      <c r="D211" s="48"/>
      <c r="E211" s="48"/>
      <c r="F211" s="48"/>
      <c r="G211" s="48"/>
      <c r="H211" s="48"/>
      <c r="I211" s="48"/>
      <c r="J211" s="48"/>
      <c r="K211" s="48"/>
      <c r="L211" s="48"/>
      <c r="M211" s="48"/>
      <c r="N211" s="48"/>
      <c r="O211" s="48"/>
      <c r="P211" s="48"/>
      <c r="Q211" s="48"/>
      <c r="R211" s="48"/>
      <c r="S211" s="48"/>
      <c r="T211" s="48"/>
      <c r="U211" s="48"/>
    </row>
    <row r="212" spans="1:21" x14ac:dyDescent="0.2">
      <c r="A212" s="18" t="s">
        <v>148</v>
      </c>
    </row>
    <row r="213" spans="1:21" x14ac:dyDescent="0.2">
      <c r="A213" s="1" t="s">
        <v>298</v>
      </c>
      <c r="B213" s="4" t="str">
        <f>$B$37</f>
        <v>From Fiscal</v>
      </c>
      <c r="D213" s="14">
        <f>'Fiscal Forecasts'!D$253</f>
        <v>37.048000000000002</v>
      </c>
      <c r="E213" s="14">
        <f>'Fiscal Forecasts'!E$253</f>
        <v>38.055</v>
      </c>
      <c r="F213" s="14">
        <f>'Fiscal Forecasts'!F$253</f>
        <v>39.283000000000001</v>
      </c>
      <c r="G213" s="15">
        <f>'Fiscal Forecasts'!G$253</f>
        <v>43.21</v>
      </c>
      <c r="H213" s="15">
        <f>'Fiscal Forecasts'!H$253</f>
        <v>45.377000000000002</v>
      </c>
      <c r="I213" s="15">
        <f>'Fiscal Forecasts'!I$253</f>
        <v>44.613</v>
      </c>
      <c r="J213" s="15">
        <f>'Fiscal Forecasts'!J$253</f>
        <v>45.209000000000003</v>
      </c>
      <c r="K213" s="15">
        <f>'Fiscal Forecasts'!K$253</f>
        <v>44.869</v>
      </c>
      <c r="L213" s="6">
        <f ca="1">SUM(-L$203,L$315,IF(L$6=OFFSET(Assumptions!$B$8,0,$C$1),AVERAGE(SUM(I$203,I$213,-I$315)/SUM(I$196,I$203,I$213,-I$243,-I$315),SUM(J$203,J$213,-J$315)/SUM(J$196,J$203,J$213,-J$243,-J$315),SUM(K$203,K$213,-K$315)/SUM(K$196,K$203,K$213,-K$243,-K$315)),SUM(K$203,K$213,-K$315)/SUM(K$196,K$203,K$213,-K$243,-K$315))*SUM(-L$247,-L$255,L$314))</f>
        <v>44.943646688935999</v>
      </c>
      <c r="M213" s="6">
        <f ca="1">SUM(-M$203,M$315,IF(M$6=OFFSET(Assumptions!$B$8,0,$C$1),AVERAGE(SUM(J$203,J$213,-J$315)/SUM(J$196,J$203,J$213,-J$243,-J$315),SUM(K$203,K$213,-K$315)/SUM(K$196,K$203,K$213,-K$243,-K$315),SUM(L$203,L$213,-L$315)/SUM(L$196,L$203,L$213,-L$243,-L$315)),SUM(L$203,L$213,-L$315)/SUM(L$196,L$203,L$213,-L$243,-L$315))*SUM(-M$247,-M$255,M$314))</f>
        <v>45.298765003980648</v>
      </c>
      <c r="N213" s="6">
        <f ca="1">SUM(-N$203,N$315,IF(N$6=OFFSET(Assumptions!$B$8,0,$C$1),AVERAGE(SUM(K$203,K$213,-K$315)/SUM(K$196,K$203,K$213,-K$243,-K$315),SUM(L$203,L$213,-L$315)/SUM(L$196,L$203,L$213,-L$243,-L$315),SUM(M$203,M$213,-M$315)/SUM(M$196,M$203,M$213,-M$243,-M$315)),SUM(M$203,M$213,-M$315)/SUM(M$196,M$203,M$213,-M$243,-M$315))*SUM(-N$247,-N$255,N$314))</f>
        <v>45.354429648708134</v>
      </c>
      <c r="O213" s="6">
        <f ca="1">SUM(-O$203,O$315,IF(O$6=OFFSET(Assumptions!$B$8,0,$C$1),AVERAGE(SUM(L$203,L$213,-L$315)/SUM(L$196,L$203,L$213,-L$243,-L$315),SUM(M$203,M$213,-M$315)/SUM(M$196,M$203,M$213,-M$243,-M$315),SUM(N$203,N$213,-N$315)/SUM(N$196,N$203,N$213,-N$243,-N$315)),SUM(N$203,N$213,-N$315)/SUM(N$196,N$203,N$213,-N$243,-N$315))*SUM(-O$247,-O$255,O$314))</f>
        <v>45.359365566223893</v>
      </c>
      <c r="P213" s="6">
        <f ca="1">SUM(-P$203,P$315,IF(P$6=OFFSET(Assumptions!$B$8,0,$C$1),AVERAGE(SUM(M$203,M$213,-M$315)/SUM(M$196,M$203,M$213,-M$243,-M$315),SUM(N$203,N$213,-N$315)/SUM(N$196,N$203,N$213,-N$243,-N$315),SUM(O$203,O$213,-O$315)/SUM(O$196,O$203,O$213,-O$243,-O$315)),SUM(O$203,O$213,-O$315)/SUM(O$196,O$203,O$213,-O$243,-O$315))*SUM(-P$247,-P$255,P$314))</f>
        <v>45.32072430040018</v>
      </c>
      <c r="Q213" s="6">
        <f ca="1">SUM(-Q$203,Q$315,IF(Q$6=OFFSET(Assumptions!$B$8,0,$C$1),AVERAGE(SUM(N$203,N$213,-N$315)/SUM(N$196,N$203,N$213,-N$243,-N$315),SUM(O$203,O$213,-O$315)/SUM(O$196,O$203,O$213,-O$243,-O$315),SUM(P$203,P$213,-P$315)/SUM(P$196,P$203,P$213,-P$243,-P$315)),SUM(P$203,P$213,-P$315)/SUM(P$196,P$203,P$213,-P$243,-P$315))*SUM(-Q$247,-Q$255,Q$314))</f>
        <v>45.229052589610255</v>
      </c>
      <c r="R213" s="6">
        <f ca="1">SUM(-R$203,R$315,IF(R$6=OFFSET(Assumptions!$B$8,0,$C$1),AVERAGE(SUM(O$203,O$213,-O$315)/SUM(O$196,O$203,O$213,-O$243,-O$315),SUM(P$203,P$213,-P$315)/SUM(P$196,P$203,P$213,-P$243,-P$315),SUM(Q$203,Q$213,-Q$315)/SUM(Q$196,Q$203,Q$213,-Q$243,-Q$315)),SUM(Q$203,Q$213,-Q$315)/SUM(Q$196,Q$203,Q$213,-Q$243,-Q$315))*SUM(-R$247,-R$255,R$314))</f>
        <v>45.126877969597388</v>
      </c>
      <c r="S213" s="6">
        <f ca="1">SUM(-S$203,S$315,IF(S$6=OFFSET(Assumptions!$B$8,0,$C$1),AVERAGE(SUM(P$203,P$213,-P$315)/SUM(P$196,P$203,P$213,-P$243,-P$315),SUM(Q$203,Q$213,-Q$315)/SUM(Q$196,Q$203,Q$213,-Q$243,-Q$315),SUM(R$203,R$213,-R$315)/SUM(R$196,R$203,R$213,-R$243,-R$315)),SUM(R$203,R$213,-R$315)/SUM(R$196,R$203,R$213,-R$243,-R$315))*SUM(-S$247,-S$255,S$314))</f>
        <v>45.014713842003715</v>
      </c>
      <c r="T213" s="6">
        <f ca="1">SUM(-T$203,T$315,IF(T$6=OFFSET(Assumptions!$B$8,0,$C$1),AVERAGE(SUM(Q$203,Q$213,-Q$315)/SUM(Q$196,Q$203,Q$213,-Q$243,-Q$315),SUM(R$203,R$213,-R$315)/SUM(R$196,R$203,R$213,-R$243,-R$315),SUM(S$203,S$213,-S$315)/SUM(S$196,S$203,S$213,-S$243,-S$315)),SUM(S$203,S$213,-S$315)/SUM(S$196,S$203,S$213,-S$243,-S$315))*SUM(-T$247,-T$255,T$314))</f>
        <v>44.893139292260443</v>
      </c>
      <c r="U213" s="6">
        <f ca="1">SUM(-U$203,U$315,IF(U$6=OFFSET(Assumptions!$B$8,0,$C$1),AVERAGE(SUM(R$203,R$213,-R$315)/SUM(R$196,R$203,R$213,-R$243,-R$315),SUM(S$203,S$213,-S$315)/SUM(S$196,S$203,S$213,-S$243,-S$315),SUM(T$203,T$213,-T$315)/SUM(T$196,T$203,T$213,-T$243,-T$315)),SUM(T$203,T$213,-T$315)/SUM(T$196,T$203,T$213,-T$243,-T$315))*SUM(-U$247,-U$255,U$314))</f>
        <v>44.76112594009733</v>
      </c>
    </row>
    <row r="214" spans="1:21" x14ac:dyDescent="0.2">
      <c r="A214" s="1" t="s">
        <v>272</v>
      </c>
      <c r="B214" s="4" t="str">
        <f>$B$37</f>
        <v>From Fiscal</v>
      </c>
      <c r="D214" s="14">
        <f>'Fiscal Forecasts'!D$254</f>
        <v>18.233000000000001</v>
      </c>
      <c r="E214" s="14">
        <f>'Fiscal Forecasts'!E$254</f>
        <v>18.931999999999999</v>
      </c>
      <c r="F214" s="14">
        <f>'Fiscal Forecasts'!F$254</f>
        <v>19.826000000000001</v>
      </c>
      <c r="G214" s="15">
        <f>'Fiscal Forecasts'!G$254</f>
        <v>21.094999999999999</v>
      </c>
      <c r="H214" s="15">
        <f>'Fiscal Forecasts'!H$254</f>
        <v>22.09</v>
      </c>
      <c r="I214" s="15">
        <f>'Fiscal Forecasts'!I$254</f>
        <v>21.9</v>
      </c>
      <c r="J214" s="15">
        <f>'Fiscal Forecasts'!J$254</f>
        <v>22.204999999999998</v>
      </c>
      <c r="K214" s="15">
        <f>'Fiscal Forecasts'!K$254</f>
        <v>21.79</v>
      </c>
      <c r="L214" s="6">
        <f ca="1">SUM(-L$204,IF(L$6=OFFSET(Assumptions!$B$8,0,$C$1),AVERAGE(SUM(I$204,I$214)/SUM(I$197,-(I$244-I$243),I$204,I$214),SUM(J$204,J$214)/SUM(J$197,-(J$244-J$243),J$204,J$214),SUM(K$204,K$214)/SUM(K$197,-(K$244-K$243),K$204,K$214)),SUM(K$204,K$214)/SUM(K$197,-(K$244-K$243),K$204,K$214))*SUM(L$186-L$229,L$248,L$257,L$279,L$317,-(L$244-L$243)))</f>
        <v>22.731096045107922</v>
      </c>
      <c r="M214" s="6">
        <f ca="1">SUM(-M$204,IF(M$6=OFFSET(Assumptions!$B$8,0,$C$1),AVERAGE(SUM(J$204,J$214)/SUM(J$197,-(J$244-J$243),J$204,J$214),SUM(K$204,K$214)/SUM(K$197,-(K$244-K$243),K$204,K$214),SUM(L$204,L$214)/SUM(L$197,-(L$244-L$243),L$204,L$214)),SUM(L$204,L$214)/SUM(L$197,-(L$244-L$243),L$204,L$214))*SUM(M$186-M$229,M$248,M$257,M$279,M$317,-(M$244-M$243)))</f>
        <v>23.236270467831332</v>
      </c>
      <c r="N214" s="6">
        <f ca="1">SUM(-N$204,IF(N$6=OFFSET(Assumptions!$B$8,0,$C$1),AVERAGE(SUM(K$204,K$214)/SUM(K$197,-(K$244-K$243),K$204,K$214),SUM(L$204,L$214)/SUM(L$197,-(L$244-L$243),L$204,L$214),SUM(M$204,M$214)/SUM(M$197,-(M$244-M$243),M$204,M$214)),SUM(M$204,M$214)/SUM(M$197,-(M$244-M$243),M$204,M$214))*SUM(N$186-N$229,N$248,N$257,N$279,N$317,-(N$244-N$243)))</f>
        <v>23.569184702386327</v>
      </c>
      <c r="O214" s="6">
        <f ca="1">SUM(-O$204,IF(O$6=OFFSET(Assumptions!$B$8,0,$C$1),AVERAGE(SUM(L$204,L$214)/SUM(L$197,-(L$244-L$243),L$204,L$214),SUM(M$204,M$214)/SUM(M$197,-(M$244-M$243),M$204,M$214),SUM(N$204,N$214)/SUM(N$197,-(N$244-N$243),N$204,N$214)),SUM(N$204,N$214)/SUM(N$197,-(N$244-N$243),N$204,N$214))*SUM(O$186-O$229,O$248,O$257,O$279,O$317,-(O$244-O$243)))</f>
        <v>23.910813052385041</v>
      </c>
      <c r="P214" s="6">
        <f ca="1">SUM(-P$204,IF(P$6=OFFSET(Assumptions!$B$8,0,$C$1),AVERAGE(SUM(M$204,M$214)/SUM(M$197,-(M$244-M$243),M$204,M$214),SUM(N$204,N$214)/SUM(N$197,-(N$244-N$243),N$204,N$214),SUM(O$204,O$214)/SUM(O$197,-(O$244-O$243),O$204,O$214)),SUM(O$204,O$214)/SUM(O$197,-(O$244-O$243),O$204,O$214))*SUM(P$186-P$229,P$248,P$257,P$279,P$317,-(P$244-P$243)))</f>
        <v>24.265199867250175</v>
      </c>
      <c r="Q214" s="6">
        <f ca="1">SUM(-Q$204,IF(Q$6=OFFSET(Assumptions!$B$8,0,$C$1),AVERAGE(SUM(N$204,N$214)/SUM(N$197,-(N$244-N$243),N$204,N$214),SUM(O$204,O$214)/SUM(O$197,-(O$244-O$243),O$204,O$214),SUM(P$204,P$214)/SUM(P$197,-(P$244-P$243),P$204,P$214)),SUM(P$204,P$214)/SUM(P$197,-(P$244-P$243),P$204,P$214))*SUM(Q$186-Q$229,Q$248,Q$257,Q$279,Q$317,-(Q$244-Q$243)))</f>
        <v>24.631696572423497</v>
      </c>
      <c r="R214" s="6">
        <f ca="1">SUM(-R$204,IF(R$6=OFFSET(Assumptions!$B$8,0,$C$1),AVERAGE(SUM(O$204,O$214)/SUM(O$197,-(O$244-O$243),O$204,O$214),SUM(P$204,P$214)/SUM(P$197,-(P$244-P$243),P$204,P$214),SUM(Q$204,Q$214)/SUM(Q$197,-(Q$244-Q$243),Q$204,Q$214)),SUM(Q$204,Q$214)/SUM(Q$197,-(Q$244-Q$243),Q$204,Q$214))*SUM(R$186-R$229,R$248,R$257,R$279,R$317,-(R$244-R$243)))</f>
        <v>25.011563821823213</v>
      </c>
      <c r="S214" s="6">
        <f ca="1">SUM(-S$204,IF(S$6=OFFSET(Assumptions!$B$8,0,$C$1),AVERAGE(SUM(P$204,P$214)/SUM(P$197,-(P$244-P$243),P$204,P$214),SUM(Q$204,Q$214)/SUM(Q$197,-(Q$244-Q$243),Q$204,Q$214),SUM(R$204,R$214)/SUM(R$197,-(R$244-R$243),R$204,R$214)),SUM(R$204,R$214)/SUM(R$197,-(R$244-R$243),R$204,R$214))*SUM(S$186-S$229,S$248,S$257,S$279,S$317,-(S$244-S$243)))</f>
        <v>25.402150531581661</v>
      </c>
      <c r="T214" s="6">
        <f ca="1">SUM(-T$204,IF(T$6=OFFSET(Assumptions!$B$8,0,$C$1),AVERAGE(SUM(Q$204,Q$214)/SUM(Q$197,-(Q$244-Q$243),Q$204,Q$214),SUM(R$204,R$214)/SUM(R$197,-(R$244-R$243),R$204,R$214),SUM(S$204,S$214)/SUM(S$197,-(S$244-S$243),S$204,S$214)),SUM(S$204,S$214)/SUM(S$197,-(S$244-S$243),S$204,S$214))*SUM(T$186-T$229,T$248,T$257,T$279,T$317,-(T$244-T$243)))</f>
        <v>25.806474966825537</v>
      </c>
      <c r="U214" s="6">
        <f ca="1">SUM(-U$204,IF(U$6=OFFSET(Assumptions!$B$8,0,$C$1),AVERAGE(SUM(R$204,R$214)/SUM(R$197,-(R$244-R$243),R$204,R$214),SUM(S$204,S$214)/SUM(S$197,-(S$244-S$243),S$204,S$214),SUM(T$204,T$214)/SUM(T$197,-(T$244-T$243),T$204,T$214)),SUM(T$204,T$214)/SUM(T$197,-(T$244-T$243),T$204,T$214))*SUM(U$186-U$229,U$248,U$257,U$279,U$317,-(U$244-U$243)))</f>
        <v>26.225782966159109</v>
      </c>
    </row>
    <row r="215" spans="1:21" x14ac:dyDescent="0.2">
      <c r="A215" s="1" t="s">
        <v>483</v>
      </c>
      <c r="B215" s="4" t="str">
        <f>$B$37</f>
        <v>From Fiscal</v>
      </c>
      <c r="D215" s="14">
        <f>'Fiscal Forecasts'!D$255</f>
        <v>9.6199999999999992</v>
      </c>
      <c r="E215" s="14">
        <f>'Fiscal Forecasts'!E$255</f>
        <v>8.6289999999999996</v>
      </c>
      <c r="F215" s="14">
        <f>'Fiscal Forecasts'!F$255</f>
        <v>9.0579999999999998</v>
      </c>
      <c r="G215" s="15">
        <f>'Fiscal Forecasts'!G$255</f>
        <v>10.395</v>
      </c>
      <c r="H215" s="15">
        <f>'Fiscal Forecasts'!H$255</f>
        <v>10.651999999999999</v>
      </c>
      <c r="I215" s="15">
        <f>'Fiscal Forecasts'!I$255</f>
        <v>11.151999999999999</v>
      </c>
      <c r="J215" s="15">
        <f>'Fiscal Forecasts'!J$255</f>
        <v>11.46</v>
      </c>
      <c r="K215" s="15">
        <f>'Fiscal Forecasts'!K$255</f>
        <v>11.904999999999999</v>
      </c>
      <c r="L215" s="6">
        <f ca="1">SUM(-L$205,IF(L$6=OFFSET(Assumptions!$B$8,0,$C$1),AVERAGE(SUM(I$215,I$205)/SUM(I$198,I$205,I$215),SUM(J$215,J$205)/SUM(J$198,J$205,J$215),SUM(K$215,K$205)/SUM(K$198,K$205,K$215)),SUM(K$215,K$205)/SUM(K$198,K$205,K$215))*SUM(L$280,L$318-L$230))</f>
        <v>12.702527711671443</v>
      </c>
      <c r="M215" s="6">
        <f ca="1">SUM(-M$205,IF(M$6=OFFSET(Assumptions!$B$8,0,$C$1),AVERAGE(SUM(J$215,J$205)/SUM(J$198,J$205,J$215),SUM(K$215,K$205)/SUM(K$198,K$205,K$215),SUM(L$215,L$205)/SUM(L$198,L$205,L$215)),SUM(L$215,L$205)/SUM(L$198,L$205,L$215))*SUM(M$280,M$318-M$230))</f>
        <v>13.345038382271206</v>
      </c>
      <c r="N215" s="6">
        <f ca="1">SUM(-N$205,IF(N$6=OFFSET(Assumptions!$B$8,0,$C$1),AVERAGE(SUM(K$215,K$205)/SUM(K$198,K$205,K$215),SUM(L$215,L$205)/SUM(L$198,L$205,L$215),SUM(M$215,M$205)/SUM(M$198,M$205,M$215)),SUM(M$215,M$205)/SUM(M$198,M$205,M$215))*SUM(N$280,N$318-N$230))</f>
        <v>13.9994425124213</v>
      </c>
      <c r="O215" s="6">
        <f ca="1">SUM(-O$205,IF(O$6=OFFSET(Assumptions!$B$8,0,$C$1),AVERAGE(SUM(L$215,L$205)/SUM(L$198,L$205,L$215),SUM(M$215,M$205)/SUM(M$198,M$205,M$215),SUM(N$215,N$205)/SUM(N$198,N$205,N$215)),SUM(N$215,N$205)/SUM(N$198,N$205,N$215))*SUM(O$280,O$318-O$230))</f>
        <v>14.670167688678008</v>
      </c>
      <c r="P215" s="6">
        <f ca="1">SUM(-P$205,IF(P$6=OFFSET(Assumptions!$B$8,0,$C$1),AVERAGE(SUM(M$215,M$205)/SUM(M$198,M$205,M$215),SUM(N$215,N$205)/SUM(N$198,N$205,N$215),SUM(O$215,O$205)/SUM(O$198,O$205,O$215)),SUM(O$215,O$205)/SUM(O$198,O$205,O$215))*SUM(P$280,P$318-P$230))</f>
        <v>15.363427943883767</v>
      </c>
      <c r="Q215" s="6">
        <f ca="1">SUM(-Q$205,IF(Q$6=OFFSET(Assumptions!$B$8,0,$C$1),AVERAGE(SUM(N$215,N$205)/SUM(N$198,N$205,N$215),SUM(O$215,O$205)/SUM(O$198,O$205,O$215),SUM(P$215,P$205)/SUM(P$198,P$205,P$215)),SUM(P$215,P$205)/SUM(P$198,P$205,P$215))*SUM(Q$280,Q$318-Q$230))</f>
        <v>16.0803389261395</v>
      </c>
      <c r="R215" s="6">
        <f ca="1">SUM(-R$205,IF(R$6=OFFSET(Assumptions!$B$8,0,$C$1),AVERAGE(SUM(O$215,O$205)/SUM(O$198,O$205,O$215),SUM(P$215,P$205)/SUM(P$198,P$205,P$215),SUM(Q$215,Q$205)/SUM(Q$198,Q$205,Q$215)),SUM(Q$215,Q$205)/SUM(Q$198,Q$205,Q$215))*SUM(R$280,R$318-R$230))</f>
        <v>16.819573396560429</v>
      </c>
      <c r="S215" s="6">
        <f ca="1">SUM(-S$205,IF(S$6=OFFSET(Assumptions!$B$8,0,$C$1),AVERAGE(SUM(P$215,P$205)/SUM(P$198,P$205,P$215),SUM(Q$215,Q$205)/SUM(Q$198,Q$205,Q$215),SUM(R$215,R$205)/SUM(R$198,R$205,R$215)),SUM(R$215,R$205)/SUM(R$198,R$205,R$215))*SUM(S$280,S$318-S$230))</f>
        <v>17.583401735455954</v>
      </c>
      <c r="T215" s="6">
        <f ca="1">SUM(-T$205,IF(T$6=OFFSET(Assumptions!$B$8,0,$C$1),AVERAGE(SUM(Q$215,Q$205)/SUM(Q$198,Q$205,Q$215),SUM(R$215,R$205)/SUM(R$198,R$205,R$215),SUM(S$215,S$205)/SUM(S$198,S$205,S$215)),SUM(S$215,S$205)/SUM(S$198,S$205,S$215))*SUM(T$280,T$318-T$230))</f>
        <v>18.372489970657657</v>
      </c>
      <c r="U215" s="6">
        <f ca="1">SUM(-U$205,IF(U$6=OFFSET(Assumptions!$B$8,0,$C$1),AVERAGE(SUM(R$215,R$205)/SUM(R$198,R$205,R$215),SUM(S$215,S$205)/SUM(S$198,S$205,S$215),SUM(T$215,T$205)/SUM(T$198,T$205,T$215)),SUM(T$215,T$205)/SUM(T$198,T$205,T$215))*SUM(U$280,U$318-U$230))</f>
        <v>19.189272833968047</v>
      </c>
    </row>
    <row r="216" spans="1:21" x14ac:dyDescent="0.2">
      <c r="A216" s="1" t="s">
        <v>484</v>
      </c>
      <c r="B216" s="4" t="str">
        <f>$B$37</f>
        <v>From Fiscal</v>
      </c>
      <c r="D216" s="14">
        <f>'Fiscal Forecasts'!D$256</f>
        <v>-28.193999999999999</v>
      </c>
      <c r="E216" s="14">
        <f>'Fiscal Forecasts'!E$256</f>
        <v>-29.039000000000001</v>
      </c>
      <c r="F216" s="14">
        <f>'Fiscal Forecasts'!F$256</f>
        <v>-30.158999999999999</v>
      </c>
      <c r="G216" s="15">
        <f>'Fiscal Forecasts'!G$256</f>
        <v>-31.87</v>
      </c>
      <c r="H216" s="15">
        <f>'Fiscal Forecasts'!H$256</f>
        <v>-33.143000000000001</v>
      </c>
      <c r="I216" s="15">
        <f>'Fiscal Forecasts'!I$256</f>
        <v>-33.06</v>
      </c>
      <c r="J216" s="15">
        <f>'Fiscal Forecasts'!J$256</f>
        <v>-33.725000000000001</v>
      </c>
      <c r="K216" s="15">
        <f>'Fiscal Forecasts'!K$256</f>
        <v>-33.417000000000002</v>
      </c>
      <c r="L216" s="6">
        <f ca="1">IF(L$6=OFFSET(Assumptions!$B$8,0,$C$1),AVERAGE(I$216/SUM(I$199,I$216),J$216/SUM(J$199,J$216),K$216/SUM(K$199,K$216)),K$216/SUM(K$199,K$216))*SUM(L$187,L$249,L$258,L$281,L$319)</f>
        <v>-34.368845831846578</v>
      </c>
      <c r="M216" s="6">
        <f ca="1">IF(M$6=OFFSET(Assumptions!$B$8,0,$C$1),AVERAGE(J$216/SUM(J$199,J$216),K$216/SUM(K$199,K$216),L$216/SUM(L$199,L$216)),L$216/SUM(L$199,L$216))*SUM(M$187,M$249,M$258,M$281,M$319)</f>
        <v>-35.008235939042656</v>
      </c>
      <c r="N216" s="6">
        <f ca="1">IF(N$6=OFFSET(Assumptions!$B$8,0,$C$1),AVERAGE(K$216/SUM(K$199,K$216),L$216/SUM(L$199,L$216),M$216/SUM(M$199,M$216)),M$216/SUM(M$199,M$216))*SUM(N$187,N$249,N$258,N$281,N$319)</f>
        <v>-35.381629898653095</v>
      </c>
      <c r="O216" s="6">
        <f ca="1">IF(O$6=OFFSET(Assumptions!$B$8,0,$C$1),AVERAGE(L$216/SUM(L$199,L$216),M$216/SUM(M$199,M$216),N$216/SUM(N$199,N$216)),N$216/SUM(N$199,N$216))*SUM(O$187,O$249,O$258,O$281,O$319)</f>
        <v>-35.76675182752183</v>
      </c>
      <c r="P216" s="6">
        <f ca="1">IF(P$6=OFFSET(Assumptions!$B$8,0,$C$1),AVERAGE(M$216/SUM(M$199,M$216),N$216/SUM(N$199,N$216),O$216/SUM(O$199,O$216)),O$216/SUM(O$199,O$216))*SUM(P$187,P$249,P$258,P$281,P$319)</f>
        <v>-36.166402802144042</v>
      </c>
      <c r="Q216" s="6">
        <f ca="1">IF(Q$6=OFFSET(Assumptions!$B$8,0,$C$1),AVERAGE(N$216/SUM(N$199,N$216),O$216/SUM(O$199,O$216),P$216/SUM(P$199,P$216)),P$216/SUM(P$199,P$216))*SUM(Q$187,Q$249,Q$258,Q$281,Q$319)</f>
        <v>-36.57932870741768</v>
      </c>
      <c r="R216" s="6">
        <f ca="1">IF(R$6=OFFSET(Assumptions!$B$8,0,$C$1),AVERAGE(O$216/SUM(O$199,O$216),P$216/SUM(P$199,P$216),Q$216/SUM(Q$199,Q$216)),Q$216/SUM(Q$199,Q$216))*SUM(R$187,R$249,R$258,R$281,R$319)</f>
        <v>-37.009602234917885</v>
      </c>
      <c r="S216" s="6">
        <f ca="1">IF(S$6=OFFSET(Assumptions!$B$8,0,$C$1),AVERAGE(P$216/SUM(P$199,P$216),Q$216/SUM(Q$199,Q$216),R$216/SUM(R$199,R$216)),R$216/SUM(R$199,R$216))*SUM(S$187,S$249,S$258,S$281,S$319)</f>
        <v>-37.448678071799215</v>
      </c>
      <c r="T216" s="6">
        <f ca="1">IF(T$6=OFFSET(Assumptions!$B$8,0,$C$1),AVERAGE(Q$216/SUM(Q$199,Q$216),R$216/SUM(R$199,R$216),S$216/SUM(S$199,S$216)),S$216/SUM(S$199,S$216))*SUM(T$187,T$249,T$258,T$281,T$319)</f>
        <v>-37.903759008862949</v>
      </c>
      <c r="U216" s="6">
        <f ca="1">IF(U$6=OFFSET(Assumptions!$B$8,0,$C$1),AVERAGE(R$216/SUM(R$199,R$216),S$216/SUM(S$199,S$216),T$216/SUM(T$199,T$216)),T$216/SUM(T$199,T$216))*SUM(U$187,U$249,U$258,U$281,U$319)</f>
        <v>-38.376253568980609</v>
      </c>
    </row>
    <row r="217" spans="1:21" ht="15" x14ac:dyDescent="0.25">
      <c r="A217" s="2" t="s">
        <v>486</v>
      </c>
      <c r="D217" s="34">
        <f t="shared" ref="D217:U217" si="119">SUM(D$213:D$216)</f>
        <v>36.707000000000008</v>
      </c>
      <c r="E217" s="34">
        <f t="shared" si="119"/>
        <v>36.576999999999998</v>
      </c>
      <c r="F217" s="34">
        <f t="shared" si="119"/>
        <v>38.008000000000003</v>
      </c>
      <c r="G217" s="33">
        <f t="shared" si="119"/>
        <v>42.83</v>
      </c>
      <c r="H217" s="33">
        <f t="shared" si="119"/>
        <v>44.975999999999999</v>
      </c>
      <c r="I217" s="33">
        <f t="shared" si="119"/>
        <v>44.605000000000004</v>
      </c>
      <c r="J217" s="33">
        <f t="shared" si="119"/>
        <v>45.148999999999994</v>
      </c>
      <c r="K217" s="33">
        <f t="shared" si="119"/>
        <v>45.146999999999991</v>
      </c>
      <c r="L217" s="37">
        <f t="shared" ca="1" si="119"/>
        <v>46.00842461386879</v>
      </c>
      <c r="M217" s="37">
        <f t="shared" ca="1" si="119"/>
        <v>46.871837915040523</v>
      </c>
      <c r="N217" s="37">
        <f t="shared" ca="1" si="119"/>
        <v>47.541426964862659</v>
      </c>
      <c r="O217" s="37">
        <f t="shared" ca="1" si="119"/>
        <v>48.173594479765114</v>
      </c>
      <c r="P217" s="37">
        <f t="shared" ca="1" si="119"/>
        <v>48.782949309390069</v>
      </c>
      <c r="Q217" s="37">
        <f t="shared" ca="1" si="119"/>
        <v>49.361759380755579</v>
      </c>
      <c r="R217" s="37">
        <f t="shared" ca="1" si="119"/>
        <v>49.948412953063148</v>
      </c>
      <c r="S217" s="37">
        <f t="shared" ca="1" si="119"/>
        <v>50.551588037242119</v>
      </c>
      <c r="T217" s="37">
        <f t="shared" ca="1" si="119"/>
        <v>51.168345220880681</v>
      </c>
      <c r="U217" s="37">
        <f t="shared" ca="1" si="119"/>
        <v>51.799928171243884</v>
      </c>
    </row>
    <row r="218" spans="1:21" ht="15" x14ac:dyDescent="0.25">
      <c r="A218" s="2"/>
      <c r="D218" s="46"/>
      <c r="E218" s="46"/>
      <c r="F218" s="46"/>
      <c r="G218" s="47"/>
      <c r="H218" s="47"/>
      <c r="I218" s="47"/>
      <c r="J218" s="47"/>
      <c r="K218" s="47"/>
      <c r="L218" s="47"/>
      <c r="M218" s="47"/>
      <c r="N218" s="47"/>
      <c r="O218" s="47"/>
      <c r="P218" s="47"/>
      <c r="Q218" s="47"/>
      <c r="R218" s="47"/>
      <c r="S218" s="47"/>
      <c r="T218" s="47"/>
      <c r="U218" s="47"/>
    </row>
    <row r="219" spans="1:21" x14ac:dyDescent="0.2">
      <c r="A219" s="18" t="s">
        <v>487</v>
      </c>
    </row>
    <row r="220" spans="1:21" x14ac:dyDescent="0.2">
      <c r="A220" s="1" t="s">
        <v>298</v>
      </c>
      <c r="B220" s="4" t="str">
        <f>$B$37</f>
        <v>From Fiscal</v>
      </c>
      <c r="D220" s="14">
        <f>'Fiscal Forecasts'!D$159</f>
        <v>3.7829999999999999</v>
      </c>
      <c r="E220" s="14">
        <f>'Fiscal Forecasts'!E$159</f>
        <v>3.59</v>
      </c>
      <c r="F220" s="14">
        <f>'Fiscal Forecasts'!F$159</f>
        <v>3.5339999999999998</v>
      </c>
      <c r="G220" s="15">
        <f>'Fiscal Forecasts'!G$159</f>
        <v>3.484</v>
      </c>
      <c r="H220" s="15">
        <f>'Fiscal Forecasts'!H$159</f>
        <v>3.4079999999999999</v>
      </c>
      <c r="I220" s="15">
        <f>'Fiscal Forecasts'!I$159</f>
        <v>3.3580000000000001</v>
      </c>
      <c r="J220" s="15">
        <f>'Fiscal Forecasts'!J$159</f>
        <v>3.5219999999999998</v>
      </c>
      <c r="K220" s="15">
        <f>'Fiscal Forecasts'!K$159</f>
        <v>3.294</v>
      </c>
      <c r="L220" s="6">
        <f t="shared" ref="L220:U220" ca="1" si="120">L$480</f>
        <v>3.6478404652948835</v>
      </c>
      <c r="M220" s="6">
        <f t="shared" ca="1" si="120"/>
        <v>3.9550450495675262</v>
      </c>
      <c r="N220" s="6">
        <f t="shared" ca="1" si="120"/>
        <v>4.3222278329070107</v>
      </c>
      <c r="O220" s="6">
        <f t="shared" ca="1" si="120"/>
        <v>4.755927187713004</v>
      </c>
      <c r="P220" s="6">
        <f t="shared" ca="1" si="120"/>
        <v>5.2701997906890403</v>
      </c>
      <c r="Q220" s="6">
        <f t="shared" ca="1" si="120"/>
        <v>5.8537020388762802</v>
      </c>
      <c r="R220" s="6">
        <f t="shared" ca="1" si="120"/>
        <v>6.4857836999027878</v>
      </c>
      <c r="S220" s="6">
        <f t="shared" ca="1" si="120"/>
        <v>6.8228076350860238</v>
      </c>
      <c r="T220" s="6">
        <f t="shared" ca="1" si="120"/>
        <v>7.1677055322716026</v>
      </c>
      <c r="U220" s="6">
        <f t="shared" ca="1" si="120"/>
        <v>7.5226471993731199</v>
      </c>
    </row>
    <row r="221" spans="1:21" x14ac:dyDescent="0.2">
      <c r="A221" s="1" t="s">
        <v>272</v>
      </c>
      <c r="B221" s="4" t="str">
        <f>$B$37</f>
        <v>From Fiscal</v>
      </c>
      <c r="D221" s="14">
        <f>'Fiscal Forecasts'!D$259</f>
        <v>0.221</v>
      </c>
      <c r="E221" s="14">
        <f>'Fiscal Forecasts'!E$259</f>
        <v>0.215</v>
      </c>
      <c r="F221" s="14">
        <f>'Fiscal Forecasts'!F$259</f>
        <v>0.158</v>
      </c>
      <c r="G221" s="15">
        <f>'Fiscal Forecasts'!G$259</f>
        <v>5.1999999999999998E-2</v>
      </c>
      <c r="H221" s="15">
        <f>'Fiscal Forecasts'!H$259</f>
        <v>8.7999999999999995E-2</v>
      </c>
      <c r="I221" s="15">
        <f>'Fiscal Forecasts'!I$259</f>
        <v>0.13400000000000001</v>
      </c>
      <c r="J221" s="15">
        <f>'Fiscal Forecasts'!J$259</f>
        <v>0.182</v>
      </c>
      <c r="K221" s="15">
        <f>'Fiscal Forecasts'!K$259</f>
        <v>0.22900000000000001</v>
      </c>
      <c r="L221" s="6">
        <f ca="1">IF(L$6=OFFSET(Assumptions!$B$8,0,$C$1),AVERAGE(I$221/SUM(I$221:I$223),J$221/SUM(J$221:J$223),K$221/SUM(K$221:K$223)),K$221/SUM(K$221:K$223))*(L$87-L$480)</f>
        <v>0.25721702745974551</v>
      </c>
      <c r="M221" s="6">
        <f ca="1">IF(M$6=OFFSET(Assumptions!$B$8,0,$C$1),AVERAGE(J$221/SUM(J$221:J$223),K$221/SUM(K$221:K$223),L$221/SUM(L$221:L$223)),L$221/SUM(L$221:L$223))*(M$87-M$480)</f>
        <v>0.28227406107691994</v>
      </c>
      <c r="N221" s="6">
        <f ca="1">IF(N$6=OFFSET(Assumptions!$B$8,0,$C$1),AVERAGE(K$221/SUM(K$221:K$223),L$221/SUM(L$221:L$223),M$221/SUM(M$221:M$223)),M$221/SUM(M$221:M$223))*(N$87-N$480)</f>
        <v>0.31712771189575728</v>
      </c>
      <c r="O221" s="6">
        <f ca="1">IF(O$6=OFFSET(Assumptions!$B$8,0,$C$1),AVERAGE(L$221/SUM(L$221:L$223),M$221/SUM(M$221:M$223),N$221/SUM(N$221:N$223)),N$221/SUM(N$221:N$223))*(O$87-O$480)</f>
        <v>0.35447655070429435</v>
      </c>
      <c r="P221" s="6">
        <f ca="1">IF(P$6=OFFSET(Assumptions!$B$8,0,$C$1),AVERAGE(M$221/SUM(M$221:M$223),N$221/SUM(N$221:N$223),O$221/SUM(O$221:O$223)),O$221/SUM(O$221:O$223))*(P$87-P$480)</f>
        <v>0.39454317956260404</v>
      </c>
      <c r="Q221" s="6">
        <f ca="1">IF(Q$6=OFFSET(Assumptions!$B$8,0,$C$1),AVERAGE(N$221/SUM(N$221:N$223),O$221/SUM(O$221:O$223),P$221/SUM(P$221:P$223)),P$221/SUM(P$221:P$223))*(Q$87-Q$480)</f>
        <v>0.43769258036377312</v>
      </c>
      <c r="R221" s="6">
        <f ca="1">IF(R$6=OFFSET(Assumptions!$B$8,0,$C$1),AVERAGE(O$221/SUM(O$221:O$223),P$221/SUM(P$221:P$223),Q$221/SUM(Q$221:Q$223)),Q$221/SUM(Q$221:Q$223))*(R$87-R$480)</f>
        <v>0.48453163044573594</v>
      </c>
      <c r="S221" s="6">
        <f ca="1">IF(S$6=OFFSET(Assumptions!$B$8,0,$C$1),AVERAGE(P$221/SUM(P$221:P$223),Q$221/SUM(Q$221:Q$223),R$221/SUM(R$221:R$223)),R$221/SUM(R$221:R$223))*(S$87-S$480)</f>
        <v>0.50932496324831389</v>
      </c>
      <c r="T221" s="6">
        <f ca="1">IF(T$6=OFFSET(Assumptions!$B$8,0,$C$1),AVERAGE(Q$221/SUM(Q$221:Q$223),R$221/SUM(R$221:R$223),S$221/SUM(S$221:S$223)),S$221/SUM(S$221:S$223))*(T$87-T$480)</f>
        <v>0.53404172800222616</v>
      </c>
      <c r="U221" s="6">
        <f ca="1">IF(U$6=OFFSET(Assumptions!$B$8,0,$C$1),AVERAGE(R$221/SUM(R$221:R$223),S$221/SUM(S$221:S$223),T$221/SUM(T$221:T$223)),T$221/SUM(T$221:T$223))*(U$87-U$480)</f>
        <v>0.55868589234913368</v>
      </c>
    </row>
    <row r="222" spans="1:21" x14ac:dyDescent="0.2">
      <c r="A222" s="1" t="s">
        <v>483</v>
      </c>
      <c r="B222" s="4" t="str">
        <f>$B$37</f>
        <v>From Fiscal</v>
      </c>
      <c r="D222" s="14">
        <f>'Fiscal Forecasts'!D$260</f>
        <v>1.28</v>
      </c>
      <c r="E222" s="14">
        <f>'Fiscal Forecasts'!E$260</f>
        <v>1.1539999999999999</v>
      </c>
      <c r="F222" s="14">
        <f>'Fiscal Forecasts'!F$260</f>
        <v>1.06</v>
      </c>
      <c r="G222" s="15">
        <f>'Fiscal Forecasts'!G$260</f>
        <v>1.07</v>
      </c>
      <c r="H222" s="15">
        <f>'Fiscal Forecasts'!H$260</f>
        <v>1.0660000000000001</v>
      </c>
      <c r="I222" s="15">
        <f>'Fiscal Forecasts'!I$260</f>
        <v>1.0880000000000001</v>
      </c>
      <c r="J222" s="15">
        <f>'Fiscal Forecasts'!J$260</f>
        <v>1.0680000000000001</v>
      </c>
      <c r="K222" s="15">
        <f>'Fiscal Forecasts'!K$260</f>
        <v>1.075</v>
      </c>
      <c r="L222" s="6">
        <f ca="1">IF(L$6=OFFSET(Assumptions!$B$8,0,$C$1),AVERAGE(I$222/SUM(I$221:I$223),J$222/SUM(J$221:J$223),K$222/SUM(K$221:K$223)),K$222/SUM(K$221:K$223))*(L$87-L$480)</f>
        <v>1.5380371333788339</v>
      </c>
      <c r="M222" s="6">
        <f ca="1">IF(M$6=OFFSET(Assumptions!$B$8,0,$C$1),AVERAGE(J$222/SUM(J$221:J$223),K$222/SUM(K$221:K$223),L$222/SUM(L$221:L$223)),L$222/SUM(L$221:L$223))*(M$87-M$480)</f>
        <v>1.6878664372011376</v>
      </c>
      <c r="N222" s="6">
        <f ca="1">IF(N$6=OFFSET(Assumptions!$B$8,0,$C$1),AVERAGE(K$222/SUM(K$221:K$223),L$222/SUM(L$221:L$223),M$222/SUM(M$221:M$223)),M$222/SUM(M$221:M$223))*(N$87-N$480)</f>
        <v>1.8962749151413503</v>
      </c>
      <c r="O222" s="6">
        <f ca="1">IF(O$6=OFFSET(Assumptions!$B$8,0,$C$1),AVERAGE(L$222/SUM(L$221:L$223),M$222/SUM(M$221:M$223),N$222/SUM(N$221:N$223)),N$222/SUM(N$221:N$223))*(O$87-O$480)</f>
        <v>2.1196034464731279</v>
      </c>
      <c r="P222" s="6">
        <f ca="1">IF(P$6=OFFSET(Assumptions!$B$8,0,$C$1),AVERAGE(M$222/SUM(M$221:M$223),N$222/SUM(N$221:N$223),O$222/SUM(O$221:O$223)),O$222/SUM(O$221:O$223))*(P$87-P$480)</f>
        <v>2.359183087066838</v>
      </c>
      <c r="Q222" s="6">
        <f ca="1">IF(Q$6=OFFSET(Assumptions!$B$8,0,$C$1),AVERAGE(N$222/SUM(N$221:N$223),O$222/SUM(O$221:O$223),P$222/SUM(P$221:P$223)),P$222/SUM(P$221:P$223))*(Q$87-Q$480)</f>
        <v>2.6171962573871062</v>
      </c>
      <c r="R222" s="6">
        <f ca="1">IF(R$6=OFFSET(Assumptions!$B$8,0,$C$1),AVERAGE(O$222/SUM(O$221:O$223),P$222/SUM(P$221:P$223),Q$222/SUM(Q$221:Q$223)),Q$222/SUM(Q$221:Q$223))*(R$87-R$480)</f>
        <v>2.8972717991570773</v>
      </c>
      <c r="S222" s="6">
        <f ca="1">IF(S$6=OFFSET(Assumptions!$B$8,0,$C$1),AVERAGE(P$222/SUM(P$221:P$223),Q$222/SUM(Q$221:Q$223),R$222/SUM(R$221:R$223)),R$222/SUM(R$221:R$223))*(S$87-S$480)</f>
        <v>3.0455242958412332</v>
      </c>
      <c r="T222" s="6">
        <f ca="1">IF(T$6=OFFSET(Assumptions!$B$8,0,$C$1),AVERAGE(Q$222/SUM(Q$221:Q$223),R$222/SUM(R$221:R$223),S$222/SUM(S$221:S$223)),S$222/SUM(S$221:S$223))*(T$87-T$480)</f>
        <v>3.1933189515214666</v>
      </c>
      <c r="U222" s="6">
        <f ca="1">IF(U$6=OFFSET(Assumptions!$B$8,0,$C$1),AVERAGE(R$222/SUM(R$221:R$223),S$222/SUM(S$221:S$223),T$222/SUM(T$221:T$223)),T$222/SUM(T$221:T$223))*(U$87-U$480)</f>
        <v>3.3406794908332214</v>
      </c>
    </row>
    <row r="223" spans="1:21" x14ac:dyDescent="0.2">
      <c r="A223" s="1" t="s">
        <v>484</v>
      </c>
      <c r="B223" s="4" t="str">
        <f>$B$37</f>
        <v>From Fiscal</v>
      </c>
      <c r="D223" s="14">
        <f>'Fiscal Forecasts'!D$261</f>
        <v>-0.72099999999999997</v>
      </c>
      <c r="E223" s="14">
        <f>'Fiscal Forecasts'!E$261</f>
        <v>-0.623</v>
      </c>
      <c r="F223" s="14">
        <f>'Fiscal Forecasts'!F$261</f>
        <v>-0.59</v>
      </c>
      <c r="G223" s="15">
        <f>'Fiscal Forecasts'!G$261</f>
        <v>-0.48499999999999999</v>
      </c>
      <c r="H223" s="15">
        <f>'Fiscal Forecasts'!H$261</f>
        <v>-0.51700000000000002</v>
      </c>
      <c r="I223" s="15">
        <f>'Fiscal Forecasts'!I$261</f>
        <v>-0.53500000000000003</v>
      </c>
      <c r="J223" s="15">
        <f>'Fiscal Forecasts'!J$261</f>
        <v>-0.54100000000000004</v>
      </c>
      <c r="K223" s="15">
        <f>'Fiscal Forecasts'!K$261</f>
        <v>-0.54700000000000004</v>
      </c>
      <c r="L223" s="6">
        <f ca="1">IF(L$6=OFFSET(Assumptions!$B$8,0,$C$1),AVERAGE(I$223/SUM(I$221:I$223),J$223/SUM(J$221:J$223),K$223/SUM(K$221:K$223)),K$223/SUM(K$221:K$223))*(L$87-L$480)</f>
        <v>-0.77219759955833689</v>
      </c>
      <c r="M223" s="6">
        <f ca="1">IF(M$6=OFFSET(Assumptions!$B$8,0,$C$1),AVERAGE(J$223/SUM(J$221:J$223),K$223/SUM(K$221:K$223),L$223/SUM(L$221:L$223)),L$223/SUM(L$221:L$223))*(M$87-M$480)</f>
        <v>-0.84742193988418402</v>
      </c>
      <c r="N223" s="6">
        <f ca="1">IF(N$6=OFFSET(Assumptions!$B$8,0,$C$1),AVERAGE(K$223/SUM(K$221:K$223),L$223/SUM(L$221:L$223),M$223/SUM(M$221:M$223)),M$223/SUM(M$221:M$223))*(N$87-N$480)</f>
        <v>-0.95205694699841048</v>
      </c>
      <c r="O223" s="6">
        <f ca="1">IF(O$6=OFFSET(Assumptions!$B$8,0,$C$1),AVERAGE(L$223/SUM(L$221:L$223),M$223/SUM(M$221:M$223),N$223/SUM(N$221:N$223)),N$223/SUM(N$221:N$223))*(O$87-O$480)</f>
        <v>-1.0641828196868239</v>
      </c>
      <c r="P223" s="6">
        <f ca="1">IF(P$6=OFFSET(Assumptions!$B$8,0,$C$1),AVERAGE(M$223/SUM(M$221:M$223),N$223/SUM(N$221:N$223),O$223/SUM(O$221:O$223)),O$223/SUM(O$221:O$223))*(P$87-P$480)</f>
        <v>-1.1844678370993027</v>
      </c>
      <c r="Q223" s="6">
        <f ca="1">IF(Q$6=OFFSET(Assumptions!$B$8,0,$C$1),AVERAGE(N$223/SUM(N$221:N$223),O$223/SUM(O$221:O$223),P$223/SUM(P$221:P$223)),P$223/SUM(P$221:P$223))*(Q$87-Q$480)</f>
        <v>-1.3140077204037153</v>
      </c>
      <c r="R223" s="6">
        <f ca="1">IF(R$6=OFFSET(Assumptions!$B$8,0,$C$1),AVERAGE(O$223/SUM(O$221:O$223),P$223/SUM(P$221:P$223),Q$223/SUM(Q$221:Q$223)),Q$223/SUM(Q$221:Q$223))*(R$87-R$480)</f>
        <v>-1.4546243910653995</v>
      </c>
      <c r="S223" s="6">
        <f ca="1">IF(S$6=OFFSET(Assumptions!$B$8,0,$C$1),AVERAGE(P$223/SUM(P$221:P$223),Q$223/SUM(Q$221:Q$223),R$223/SUM(R$221:R$223)),R$223/SUM(R$221:R$223))*(S$87-S$480)</f>
        <v>-1.5290570686539697</v>
      </c>
      <c r="T223" s="6">
        <f ca="1">IF(T$6=OFFSET(Assumptions!$B$8,0,$C$1),AVERAGE(Q$223/SUM(Q$221:Q$223),R$223/SUM(R$221:R$223),S$223/SUM(S$221:S$223)),S$223/SUM(S$221:S$223))*(T$87-T$480)</f>
        <v>-1.6032598794099808</v>
      </c>
      <c r="U223" s="6">
        <f ca="1">IF(U$6=OFFSET(Assumptions!$B$8,0,$C$1),AVERAGE(R$223/SUM(R$221:R$223),S$223/SUM(S$221:S$223),T$223/SUM(T$221:T$223)),T$223/SUM(T$221:T$223))*(U$87-U$480)</f>
        <v>-1.6772447346885893</v>
      </c>
    </row>
    <row r="224" spans="1:21" ht="15" x14ac:dyDescent="0.25">
      <c r="A224" s="2" t="s">
        <v>488</v>
      </c>
      <c r="D224" s="34">
        <f t="shared" ref="D224:U224" si="121">SUM(D$220:D$223)</f>
        <v>4.5629999999999997</v>
      </c>
      <c r="E224" s="34">
        <f t="shared" si="121"/>
        <v>4.3359999999999994</v>
      </c>
      <c r="F224" s="34">
        <f t="shared" si="121"/>
        <v>4.1619999999999999</v>
      </c>
      <c r="G224" s="33">
        <f t="shared" si="121"/>
        <v>4.1209999999999996</v>
      </c>
      <c r="H224" s="33">
        <f t="shared" si="121"/>
        <v>4.0449999999999999</v>
      </c>
      <c r="I224" s="33">
        <f t="shared" si="121"/>
        <v>4.0449999999999999</v>
      </c>
      <c r="J224" s="33">
        <f t="shared" si="121"/>
        <v>4.2309999999999999</v>
      </c>
      <c r="K224" s="33">
        <f t="shared" si="121"/>
        <v>4.0510000000000002</v>
      </c>
      <c r="L224" s="37">
        <f t="shared" ca="1" si="121"/>
        <v>4.6708970265751262</v>
      </c>
      <c r="M224" s="37">
        <f t="shared" ca="1" si="121"/>
        <v>5.0777636079613995</v>
      </c>
      <c r="N224" s="37">
        <f t="shared" ca="1" si="121"/>
        <v>5.5835735129457085</v>
      </c>
      <c r="O224" s="37">
        <f t="shared" ca="1" si="121"/>
        <v>6.1658243652036031</v>
      </c>
      <c r="P224" s="37">
        <f t="shared" ca="1" si="121"/>
        <v>6.8394582202191812</v>
      </c>
      <c r="Q224" s="37">
        <f t="shared" ca="1" si="121"/>
        <v>7.5945831562234432</v>
      </c>
      <c r="R224" s="37">
        <f t="shared" ca="1" si="121"/>
        <v>8.4129627384402017</v>
      </c>
      <c r="S224" s="37">
        <f t="shared" ca="1" si="121"/>
        <v>8.8485998255216014</v>
      </c>
      <c r="T224" s="37">
        <f t="shared" ca="1" si="121"/>
        <v>9.2918063323853151</v>
      </c>
      <c r="U224" s="37">
        <f t="shared" ca="1" si="121"/>
        <v>9.7447678478668855</v>
      </c>
    </row>
    <row r="225" spans="1:21" x14ac:dyDescent="0.2">
      <c r="A225" s="4" t="s">
        <v>489</v>
      </c>
      <c r="D225" s="50"/>
      <c r="E225" s="50">
        <f t="shared" ref="E225:K225" si="122">E$220/AVERAGE(D$68,E$68)</f>
        <v>3.7653524642606163E-2</v>
      </c>
      <c r="F225" s="50">
        <f t="shared" si="122"/>
        <v>3.7368354269762719E-2</v>
      </c>
      <c r="G225" s="51">
        <f t="shared" si="122"/>
        <v>3.6413994930887615E-2</v>
      </c>
      <c r="H225" s="51">
        <f t="shared" si="122"/>
        <v>3.6082010343933123E-2</v>
      </c>
      <c r="I225" s="51">
        <f t="shared" si="122"/>
        <v>3.620016817231194E-2</v>
      </c>
      <c r="J225" s="51">
        <f t="shared" si="122"/>
        <v>3.7737668557836029E-2</v>
      </c>
      <c r="K225" s="51">
        <f t="shared" si="122"/>
        <v>3.4551299869409934E-2</v>
      </c>
      <c r="L225" s="8">
        <f ca="1">SUM(K$225,IF(L$6=OFFSET(Assumptions!$B$8,0,$C$1),ABS(OFFSET(Assumptions!$B$16,0,$C$1)-K$225)/OFFSET(Assumptions!$B$24,0,$C$1),MIN(ABS(K$225-J$225),ABS(OFFSET(Assumptions!$B$16,0,$C$1)-K$225)))*SIGN(OFFSET(Assumptions!$B$16,0,$C$1)-K$225))</f>
        <v>3.7186828459494226E-2</v>
      </c>
      <c r="M225" s="8">
        <f ca="1">SUM(L$225,IF(M$6=OFFSET(Assumptions!$B$8,0,$C$1),ABS(OFFSET(Assumptions!$B$16,0,$C$1)-L$225)/OFFSET(Assumptions!$B$24,0,$C$1),MIN(ABS(L$225-K$225),ABS(OFFSET(Assumptions!$B$16,0,$C$1)-L$225)))*SIGN(OFFSET(Assumptions!$B$16,0,$C$1)-L$225))</f>
        <v>3.9822357049578518E-2</v>
      </c>
      <c r="N225" s="8">
        <f ca="1">SUM(M$225,IF(N$6=OFFSET(Assumptions!$B$8,0,$C$1),ABS(OFFSET(Assumptions!$B$16,0,$C$1)-M$225)/OFFSET(Assumptions!$B$24,0,$C$1),MIN(ABS(M$225-L$225),ABS(OFFSET(Assumptions!$B$16,0,$C$1)-M$225)))*SIGN(OFFSET(Assumptions!$B$16,0,$C$1)-M$225))</f>
        <v>4.245788563966281E-2</v>
      </c>
      <c r="O225" s="8">
        <f ca="1">SUM(N$225,IF(O$6=OFFSET(Assumptions!$B$8,0,$C$1),ABS(OFFSET(Assumptions!$B$16,0,$C$1)-N$225)/OFFSET(Assumptions!$B$24,0,$C$1),MIN(ABS(N$225-M$225),ABS(OFFSET(Assumptions!$B$16,0,$C$1)-N$225)))*SIGN(OFFSET(Assumptions!$B$16,0,$C$1)-N$225))</f>
        <v>4.5093414229747102E-2</v>
      </c>
      <c r="P225" s="8">
        <f ca="1">SUM(O$225,IF(P$6=OFFSET(Assumptions!$B$8,0,$C$1),ABS(OFFSET(Assumptions!$B$16,0,$C$1)-O$225)/OFFSET(Assumptions!$B$24,0,$C$1),MIN(ABS(O$225-N$225),ABS(OFFSET(Assumptions!$B$16,0,$C$1)-O$225)))*SIGN(OFFSET(Assumptions!$B$16,0,$C$1)-O$225))</f>
        <v>4.7728942819831394E-2</v>
      </c>
      <c r="Q225" s="8">
        <f ca="1">SUM(P$225,IF(Q$6=OFFSET(Assumptions!$B$8,0,$C$1),ABS(OFFSET(Assumptions!$B$16,0,$C$1)-P$225)/OFFSET(Assumptions!$B$24,0,$C$1),MIN(ABS(P$225-O$225),ABS(OFFSET(Assumptions!$B$16,0,$C$1)-P$225)))*SIGN(OFFSET(Assumptions!$B$16,0,$C$1)-P$225))</f>
        <v>5.0364471409915686E-2</v>
      </c>
      <c r="R225" s="8">
        <f ca="1">SUM(Q$225,IF(R$6=OFFSET(Assumptions!$B$8,0,$C$1),ABS(OFFSET(Assumptions!$B$16,0,$C$1)-Q$225)/OFFSET(Assumptions!$B$24,0,$C$1),MIN(ABS(Q$225-P$225),ABS(OFFSET(Assumptions!$B$16,0,$C$1)-Q$225)))*SIGN(OFFSET(Assumptions!$B$16,0,$C$1)-Q$225))</f>
        <v>5.2999999999999978E-2</v>
      </c>
      <c r="S225" s="8">
        <f ca="1">SUM(R$225,IF(S$6=OFFSET(Assumptions!$B$8,0,$C$1),ABS(OFFSET(Assumptions!$B$16,0,$C$1)-R$225)/OFFSET(Assumptions!$B$24,0,$C$1),MIN(ABS(R$225-Q$225),ABS(OFFSET(Assumptions!$B$16,0,$C$1)-R$225)))*SIGN(OFFSET(Assumptions!$B$16,0,$C$1)-R$225))</f>
        <v>5.2999999999999999E-2</v>
      </c>
      <c r="T225" s="8">
        <f ca="1">SUM(S$225,IF(T$6=OFFSET(Assumptions!$B$8,0,$C$1),ABS(OFFSET(Assumptions!$B$16,0,$C$1)-S$225)/OFFSET(Assumptions!$B$24,0,$C$1),MIN(ABS(S$225-R$225),ABS(OFFSET(Assumptions!$B$16,0,$C$1)-S$225)))*SIGN(OFFSET(Assumptions!$B$16,0,$C$1)-S$225))</f>
        <v>5.2999999999999999E-2</v>
      </c>
      <c r="U225" s="8">
        <f ca="1">SUM(T$225,IF(U$6=OFFSET(Assumptions!$B$8,0,$C$1),ABS(OFFSET(Assumptions!$B$16,0,$C$1)-T$225)/OFFSET(Assumptions!$B$24,0,$C$1),MIN(ABS(T$225-S$225),ABS(OFFSET(Assumptions!$B$16,0,$C$1)-T$225)))*SIGN(OFFSET(Assumptions!$B$16,0,$C$1)-T$225))</f>
        <v>5.2999999999999999E-2</v>
      </c>
    </row>
    <row r="226" spans="1:21" x14ac:dyDescent="0.2">
      <c r="A226" s="4"/>
      <c r="D226" s="50"/>
      <c r="E226" s="50"/>
      <c r="F226" s="50"/>
      <c r="G226" s="51"/>
      <c r="H226" s="51"/>
      <c r="I226" s="51"/>
      <c r="J226" s="51"/>
      <c r="K226" s="51"/>
      <c r="L226" s="8"/>
      <c r="M226" s="8"/>
      <c r="N226" s="8"/>
      <c r="O226" s="8"/>
      <c r="P226" s="8"/>
      <c r="Q226" s="8"/>
      <c r="R226" s="8"/>
      <c r="S226" s="8"/>
      <c r="T226" s="8"/>
      <c r="U226" s="8"/>
    </row>
    <row r="227" spans="1:21" x14ac:dyDescent="0.2">
      <c r="A227" s="18" t="s">
        <v>150</v>
      </c>
    </row>
    <row r="228" spans="1:21" x14ac:dyDescent="0.2">
      <c r="A228" s="1" t="s">
        <v>298</v>
      </c>
      <c r="B228" s="4" t="str">
        <f t="shared" ref="B228:B244" si="123">$B$37</f>
        <v>From Fiscal</v>
      </c>
      <c r="D228" s="14">
        <f>'Fiscal Forecasts'!D$160</f>
        <v>6.0000000000000001E-3</v>
      </c>
      <c r="E228" s="14">
        <f>'Fiscal Forecasts'!E$160</f>
        <v>0</v>
      </c>
      <c r="F228" s="14">
        <f>'Fiscal Forecasts'!F$160</f>
        <v>8.0000000000000002E-3</v>
      </c>
      <c r="G228" s="15">
        <f>'Fiscal Forecasts'!G$160</f>
        <v>0.05</v>
      </c>
      <c r="H228" s="15">
        <f>'Fiscal Forecasts'!H$160</f>
        <v>1E-3</v>
      </c>
      <c r="I228" s="15">
        <f>'Fiscal Forecasts'!I$160</f>
        <v>1E-3</v>
      </c>
      <c r="J228" s="15">
        <f>'Fiscal Forecasts'!J$160</f>
        <v>1E-3</v>
      </c>
      <c r="K228" s="15">
        <f>'Fiscal Forecasts'!K$160</f>
        <v>1E-3</v>
      </c>
      <c r="L228" s="6">
        <f ca="1">IF(L$6=OFFSET(Assumptions!$B$8,0,$C$1),0,K$228)</f>
        <v>0</v>
      </c>
      <c r="M228" s="6">
        <f ca="1">IF(M$6=OFFSET(Assumptions!$B$8,0,$C$1),0,L$228)</f>
        <v>0</v>
      </c>
      <c r="N228" s="6">
        <f ca="1">IF(N$6=OFFSET(Assumptions!$B$8,0,$C$1),0,M$228)</f>
        <v>0</v>
      </c>
      <c r="O228" s="6">
        <f ca="1">IF(O$6=OFFSET(Assumptions!$B$8,0,$C$1),0,N$228)</f>
        <v>0</v>
      </c>
      <c r="P228" s="6">
        <f ca="1">IF(P$6=OFFSET(Assumptions!$B$8,0,$C$1),0,O$228)</f>
        <v>0</v>
      </c>
      <c r="Q228" s="6">
        <f ca="1">IF(Q$6=OFFSET(Assumptions!$B$8,0,$C$1),0,P$228)</f>
        <v>0</v>
      </c>
      <c r="R228" s="6">
        <f ca="1">IF(R$6=OFFSET(Assumptions!$B$8,0,$C$1),0,Q$228)</f>
        <v>0</v>
      </c>
      <c r="S228" s="6">
        <f ca="1">IF(S$6=OFFSET(Assumptions!$B$8,0,$C$1),0,R$228)</f>
        <v>0</v>
      </c>
      <c r="T228" s="6">
        <f ca="1">IF(T$6=OFFSET(Assumptions!$B$8,0,$C$1),0,S$228)</f>
        <v>0</v>
      </c>
      <c r="U228" s="6">
        <f ca="1">IF(U$6=OFFSET(Assumptions!$B$8,0,$C$1),0,T$228)</f>
        <v>0</v>
      </c>
    </row>
    <row r="229" spans="1:21" x14ac:dyDescent="0.2">
      <c r="A229" s="1" t="s">
        <v>272</v>
      </c>
      <c r="B229" s="4" t="str">
        <f t="shared" si="123"/>
        <v>From Fiscal</v>
      </c>
      <c r="D229" s="14">
        <f>'Fiscal Forecasts'!D$189</f>
        <v>4.085</v>
      </c>
      <c r="E229" s="14">
        <f>'Fiscal Forecasts'!E$189</f>
        <v>4.7050000000000001</v>
      </c>
      <c r="F229" s="14">
        <f>'Fiscal Forecasts'!F$189</f>
        <v>5.2480000000000002</v>
      </c>
      <c r="G229" s="15">
        <f>'Fiscal Forecasts'!G$189</f>
        <v>4.7830000000000004</v>
      </c>
      <c r="H229" s="15">
        <f>'Fiscal Forecasts'!H$189</f>
        <v>4.8710000000000004</v>
      </c>
      <c r="I229" s="15">
        <f>'Fiscal Forecasts'!I$189</f>
        <v>5.484</v>
      </c>
      <c r="J229" s="15">
        <f>'Fiscal Forecasts'!J$189</f>
        <v>5.9779999999999998</v>
      </c>
      <c r="K229" s="15">
        <f>'Fiscal Forecasts'!K$189</f>
        <v>6.4210000000000003</v>
      </c>
      <c r="L229" s="6">
        <f ca="1">IF(L$6=OFFSET(Assumptions!$B$8,0,$C$1),AVERAGE(I$229/SUM(I$232:I$233),J$229/SUM(J$232:J$233),K$229/SUM(K$232:K$233)),K$229/SUM(K$232:K$233))*SUM(L$232:L$233)</f>
        <v>6.6950641235808837</v>
      </c>
      <c r="M229" s="6">
        <f ca="1">IF(M$6=OFFSET(Assumptions!$B$8,0,$C$1),AVERAGE(J$229/SUM(J$232:J$233),K$229/SUM(K$232:K$233),L$229/SUM(L$232:L$233)),L$229/SUM(L$232:L$233))*SUM(M$232:M$233)</f>
        <v>7.0172459822889364</v>
      </c>
      <c r="N229" s="6">
        <f ca="1">IF(N$6=OFFSET(Assumptions!$B$8,0,$C$1),AVERAGE(K$229/SUM(K$232:K$233),L$229/SUM(L$232:L$233),M$229/SUM(M$232:M$233)),M$229/SUM(M$232:M$233))*SUM(N$232:N$233)</f>
        <v>7.3161610294576684</v>
      </c>
      <c r="O229" s="6">
        <f ca="1">IF(O$6=OFFSET(Assumptions!$B$8,0,$C$1),AVERAGE(L$229/SUM(L$232:L$233),M$229/SUM(M$232:M$233),N$229/SUM(N$232:N$233)),N$229/SUM(N$232:N$233))*SUM(O$232:O$233)</f>
        <v>7.6268985701469569</v>
      </c>
      <c r="P229" s="6">
        <f ca="1">IF(P$6=OFFSET(Assumptions!$B$8,0,$C$1),AVERAGE(M$229/SUM(M$232:M$233),N$229/SUM(N$232:N$233),O$229/SUM(O$232:O$233)),O$229/SUM(O$232:O$233))*SUM(P$232:P$233)</f>
        <v>7.958262306112923</v>
      </c>
      <c r="Q229" s="6">
        <f ca="1">IF(Q$6=OFFSET(Assumptions!$B$8,0,$C$1),AVERAGE(N$229/SUM(N$232:N$233),O$229/SUM(O$232:O$233),P$229/SUM(P$232:P$233)),P$229/SUM(P$232:P$233))*SUM(Q$232:Q$233)</f>
        <v>8.3020907126021672</v>
      </c>
      <c r="R229" s="6">
        <f ca="1">IF(R$6=OFFSET(Assumptions!$B$8,0,$C$1),AVERAGE(O$229/SUM(O$232:O$233),P$229/SUM(P$232:P$233),Q$229/SUM(Q$232:Q$233)),Q$229/SUM(Q$232:Q$233))*SUM(R$232:R$233)</f>
        <v>8.6725101001179539</v>
      </c>
      <c r="S229" s="6">
        <f ca="1">IF(S$6=OFFSET(Assumptions!$B$8,0,$C$1),AVERAGE(P$229/SUM(P$232:P$233),Q$229/SUM(Q$232:Q$233),R$229/SUM(R$232:R$233)),R$229/SUM(R$232:R$233))*SUM(S$232:S$233)</f>
        <v>9.0418362845291664</v>
      </c>
      <c r="T229" s="6">
        <f ca="1">IF(T$6=OFFSET(Assumptions!$B$8,0,$C$1),AVERAGE(Q$229/SUM(Q$232:Q$233),R$229/SUM(R$232:R$233),S$229/SUM(S$232:S$233)),S$229/SUM(S$232:S$233))*SUM(T$232:T$233)</f>
        <v>9.4302540986872359</v>
      </c>
      <c r="U229" s="6">
        <f ca="1">IF(U$6=OFFSET(Assumptions!$B$8,0,$C$1),AVERAGE(R$229/SUM(R$232:R$233),S$229/SUM(S$232:S$233),T$229/SUM(T$232:T$233)),T$229/SUM(T$232:T$233))*SUM(U$232:U$233)</f>
        <v>9.8386858672136661</v>
      </c>
    </row>
    <row r="230" spans="1:21" x14ac:dyDescent="0.2">
      <c r="A230" s="1" t="s">
        <v>1286</v>
      </c>
      <c r="B230" s="4" t="str">
        <f t="shared" si="123"/>
        <v>From Fiscal</v>
      </c>
      <c r="D230" s="14">
        <f>'Fiscal Forecasts'!D$190</f>
        <v>1.9E-2</v>
      </c>
      <c r="E230" s="14">
        <f>'Fiscal Forecasts'!E$190</f>
        <v>0.02</v>
      </c>
      <c r="F230" s="14">
        <f>'Fiscal Forecasts'!F$190</f>
        <v>0.16200000000000001</v>
      </c>
      <c r="G230" s="15">
        <f>'Fiscal Forecasts'!G$190</f>
        <v>7.0000000000000001E-3</v>
      </c>
      <c r="H230" s="15">
        <f>'Fiscal Forecasts'!H$190</f>
        <v>5.0000000000000001E-3</v>
      </c>
      <c r="I230" s="15">
        <f>'Fiscal Forecasts'!I$190</f>
        <v>5.0000000000000001E-3</v>
      </c>
      <c r="J230" s="15">
        <f>'Fiscal Forecasts'!J$190</f>
        <v>5.0000000000000001E-3</v>
      </c>
      <c r="K230" s="15">
        <f>'Fiscal Forecasts'!K$190</f>
        <v>5.0000000000000001E-3</v>
      </c>
      <c r="L230" s="6">
        <f ca="1">SUM(L$232:L233,-L$229)</f>
        <v>6.7669091829332118E-3</v>
      </c>
      <c r="M230" s="6">
        <f ca="1">SUM(M$232:M233,-M$229)</f>
        <v>7.0925483908661491E-3</v>
      </c>
      <c r="N230" s="6">
        <f ca="1">SUM(N$232:N233,-N$229)</f>
        <v>7.3946711099717177E-3</v>
      </c>
      <c r="O230" s="6">
        <f ca="1">SUM(O$232:O233,-O$229)</f>
        <v>7.7087431903519743E-3</v>
      </c>
      <c r="P230" s="6">
        <f ca="1">SUM(P$232:P233,-P$229)</f>
        <v>8.0436628067159788E-3</v>
      </c>
      <c r="Q230" s="6">
        <f ca="1">SUM(Q$232:Q233,-Q$229)</f>
        <v>8.3911808525893861E-3</v>
      </c>
      <c r="R230" s="6">
        <f ca="1">SUM(R$232:R233,-R$229)</f>
        <v>8.7655752286028843E-3</v>
      </c>
      <c r="S230" s="6">
        <f ca="1">SUM(S$232:S233,-S$229)</f>
        <v>9.1388646702963428E-3</v>
      </c>
      <c r="T230" s="6">
        <f ca="1">SUM(T$232:T233,-T$229)</f>
        <v>9.5314506149453138E-3</v>
      </c>
      <c r="U230" s="6">
        <f ca="1">SUM(U$232:U233,-U$229)</f>
        <v>9.9442652846821744E-3</v>
      </c>
    </row>
    <row r="231" spans="1:21" ht="15" x14ac:dyDescent="0.25">
      <c r="A231" s="2" t="s">
        <v>490</v>
      </c>
      <c r="D231" s="34">
        <f t="shared" ref="D231:U231" si="124">SUM(D$228:D$230)</f>
        <v>4.1100000000000003</v>
      </c>
      <c r="E231" s="34">
        <f t="shared" si="124"/>
        <v>4.7249999999999996</v>
      </c>
      <c r="F231" s="34">
        <f t="shared" si="124"/>
        <v>5.4180000000000001</v>
      </c>
      <c r="G231" s="33">
        <f t="shared" si="124"/>
        <v>4.84</v>
      </c>
      <c r="H231" s="33">
        <f t="shared" si="124"/>
        <v>4.8770000000000007</v>
      </c>
      <c r="I231" s="33">
        <f t="shared" si="124"/>
        <v>5.49</v>
      </c>
      <c r="J231" s="33">
        <f t="shared" si="124"/>
        <v>5.984</v>
      </c>
      <c r="K231" s="33">
        <f t="shared" si="124"/>
        <v>6.4270000000000005</v>
      </c>
      <c r="L231" s="37">
        <f t="shared" ca="1" si="124"/>
        <v>6.7018310327638169</v>
      </c>
      <c r="M231" s="37">
        <f t="shared" ca="1" si="124"/>
        <v>7.0243385306798025</v>
      </c>
      <c r="N231" s="37">
        <f t="shared" ca="1" si="124"/>
        <v>7.3235557005676402</v>
      </c>
      <c r="O231" s="37">
        <f t="shared" ca="1" si="124"/>
        <v>7.6346073133373089</v>
      </c>
      <c r="P231" s="37">
        <f t="shared" ca="1" si="124"/>
        <v>7.9663059689196389</v>
      </c>
      <c r="Q231" s="37">
        <f t="shared" ca="1" si="124"/>
        <v>8.3104818934547566</v>
      </c>
      <c r="R231" s="37">
        <f t="shared" ca="1" si="124"/>
        <v>8.6812756753465568</v>
      </c>
      <c r="S231" s="37">
        <f t="shared" ca="1" si="124"/>
        <v>9.0509751491994628</v>
      </c>
      <c r="T231" s="37">
        <f t="shared" ca="1" si="124"/>
        <v>9.4397855493021812</v>
      </c>
      <c r="U231" s="37">
        <f t="shared" ca="1" si="124"/>
        <v>9.8486301324983483</v>
      </c>
    </row>
    <row r="232" spans="1:21" x14ac:dyDescent="0.2">
      <c r="A232" s="1" t="s">
        <v>491</v>
      </c>
      <c r="B232" s="4" t="str">
        <f t="shared" si="123"/>
        <v>From Fiscal</v>
      </c>
      <c r="D232" s="14">
        <f>'Fiscal Forecasts'!D$264</f>
        <v>4.1040000000000001</v>
      </c>
      <c r="E232" s="14">
        <f>'Fiscal Forecasts'!E$264</f>
        <v>4.1660000000000004</v>
      </c>
      <c r="F232" s="14">
        <f>'Fiscal Forecasts'!F$264</f>
        <v>4.5869999999999997</v>
      </c>
      <c r="G232" s="15">
        <f>'Fiscal Forecasts'!G$264</f>
        <v>4.758</v>
      </c>
      <c r="H232" s="15">
        <f>'Fiscal Forecasts'!H$264</f>
        <v>4.8369999999999997</v>
      </c>
      <c r="I232" s="15">
        <f>'Fiscal Forecasts'!I$264</f>
        <v>5.3029999999999999</v>
      </c>
      <c r="J232" s="15">
        <f>'Fiscal Forecasts'!J$264</f>
        <v>5.758</v>
      </c>
      <c r="K232" s="15">
        <f>'Fiscal Forecasts'!K$264</f>
        <v>6.194</v>
      </c>
      <c r="L232" s="6">
        <f>K$232*Exogenous!S$25/Exogenous!R$25</f>
        <v>6.4667662875083698</v>
      </c>
      <c r="M232" s="6">
        <f>L$232*Exogenous!T$25/Exogenous!S$25</f>
        <v>6.7785557889107659</v>
      </c>
      <c r="N232" s="6">
        <f>M$232*Exogenous!U$25/Exogenous!T$25</f>
        <v>7.0668212953624687</v>
      </c>
      <c r="O232" s="6">
        <f>N$232*Exogenous!V$25/Exogenous!U$25</f>
        <v>7.3666408171766111</v>
      </c>
      <c r="P232" s="6">
        <f>O$232*Exogenous!W$25/Exogenous!V$25</f>
        <v>7.6867259623020319</v>
      </c>
      <c r="Q232" s="6">
        <f>P$232*Exogenous!X$25/Exogenous!W$25</f>
        <v>8.0188884561994787</v>
      </c>
      <c r="R232" s="6">
        <f>Q$232*Exogenous!Y$25/Exogenous!X$25</f>
        <v>8.3772895583866003</v>
      </c>
      <c r="S232" s="6">
        <f>R$232*Exogenous!Z$25/Exogenous!Y$25</f>
        <v>8.7341801945488893</v>
      </c>
      <c r="T232" s="6">
        <f>S$232*Exogenous!AA$25/Exogenous!Z$25</f>
        <v>9.1097539432008343</v>
      </c>
      <c r="U232" s="6">
        <f>T$232*Exogenous!AB$25/Exogenous!AA$25</f>
        <v>9.5048940475652408</v>
      </c>
    </row>
    <row r="233" spans="1:21" x14ac:dyDescent="0.2">
      <c r="A233" s="1" t="s">
        <v>492</v>
      </c>
      <c r="B233" s="4" t="str">
        <f t="shared" si="123"/>
        <v>From Fiscal</v>
      </c>
      <c r="D233" s="14">
        <f>SUM('Fiscal Forecasts'!D$265:D$266)</f>
        <v>6.0000000000000053E-3</v>
      </c>
      <c r="E233" s="14">
        <f>SUM('Fiscal Forecasts'!E$265:E$266)</f>
        <v>0.55900000000000005</v>
      </c>
      <c r="F233" s="14">
        <f>SUM('Fiscal Forecasts'!F$265:F$266)</f>
        <v>0.83099999999999996</v>
      </c>
      <c r="G233" s="15">
        <f>SUM('Fiscal Forecasts'!G$265:G$266)</f>
        <v>8.2000000000000003E-2</v>
      </c>
      <c r="H233" s="15">
        <f>SUM('Fiscal Forecasts'!H$265:H$266)</f>
        <v>0.04</v>
      </c>
      <c r="I233" s="15">
        <f>SUM('Fiscal Forecasts'!I$265:I$266)</f>
        <v>0.187</v>
      </c>
      <c r="J233" s="15">
        <f>SUM('Fiscal Forecasts'!J$265:J$266)</f>
        <v>0.22600000000000001</v>
      </c>
      <c r="K233" s="15">
        <f>SUM('Fiscal Forecasts'!K$265:K$266)</f>
        <v>0.23300000000000001</v>
      </c>
      <c r="L233" s="6">
        <f ca="1">IF(L$6=OFFSET(Assumptions!$B$8,0,$C$1),AVERAGE(I$233/I$13,J$233/J$13,K$233/K$13),K$233/K$13)*L$13</f>
        <v>0.23506474525544746</v>
      </c>
      <c r="M233" s="6">
        <f ca="1">IF(M$6=OFFSET(Assumptions!$B$8,0,$C$1),AVERAGE(J$233/J$13,K$233/K$13,L$233/L$13),L$233/L$13)*M$13</f>
        <v>0.24578274176903628</v>
      </c>
      <c r="N233" s="6">
        <f ca="1">IF(N$6=OFFSET(Assumptions!$B$8,0,$C$1),AVERAGE(K$233/K$13,L$233/L$13,M$233/M$13),M$233/M$13)*N$13</f>
        <v>0.2567344052051716</v>
      </c>
      <c r="O233" s="6">
        <f ca="1">IF(O$6=OFFSET(Assumptions!$B$8,0,$C$1),AVERAGE(L$233/L$13,M$233/M$13,N$233/N$13),N$233/N$13)*O$13</f>
        <v>0.26796649616069773</v>
      </c>
      <c r="P233" s="6">
        <f ca="1">IF(P$6=OFFSET(Assumptions!$B$8,0,$C$1),AVERAGE(M$233/M$13,N$233/N$13,O$233/O$13),O$233/O$13)*P$13</f>
        <v>0.2795800066176069</v>
      </c>
      <c r="Q233" s="6">
        <f ca="1">IF(Q$6=OFFSET(Assumptions!$B$8,0,$C$1),AVERAGE(N$233/N$13,O$233/O$13,P$233/P$13),P$233/P$13)*Q$13</f>
        <v>0.29159343725527825</v>
      </c>
      <c r="R233" s="6">
        <f ca="1">IF(R$6=OFFSET(Assumptions!$B$8,0,$C$1),AVERAGE(O$233/O$13,P$233/P$13,Q$233/Q$13),Q$233/Q$13)*R$13</f>
        <v>0.30398611695995698</v>
      </c>
      <c r="S233" s="6">
        <f ca="1">IF(S$6=OFFSET(Assumptions!$B$8,0,$C$1),AVERAGE(P$233/P$13,Q$233/Q$13,R$233/R$13),R$233/R$13)*S$13</f>
        <v>0.31679495465057378</v>
      </c>
      <c r="T233" s="6">
        <f ca="1">IF(T$6=OFFSET(Assumptions!$B$8,0,$C$1),AVERAGE(Q$233/Q$13,R$233/R$13,S$233/S$13),S$233/S$13)*T$13</f>
        <v>0.33003160610134608</v>
      </c>
      <c r="U233" s="6">
        <f ca="1">IF(U$6=OFFSET(Assumptions!$B$8,0,$C$1),AVERAGE(R$233/R$13,S$233/S$13,T$233/T$13),T$233/T$13)*U$13</f>
        <v>0.34373608493310798</v>
      </c>
    </row>
    <row r="234" spans="1:21" x14ac:dyDescent="0.2">
      <c r="B234" s="4"/>
      <c r="D234" s="14"/>
      <c r="E234" s="14"/>
      <c r="F234" s="14"/>
      <c r="G234" s="15"/>
      <c r="H234" s="15"/>
      <c r="I234" s="15"/>
      <c r="J234" s="15"/>
      <c r="K234" s="15"/>
      <c r="L234" s="6"/>
      <c r="M234" s="6"/>
      <c r="N234" s="6"/>
      <c r="O234" s="6"/>
      <c r="P234" s="6"/>
      <c r="Q234" s="6"/>
      <c r="R234" s="6"/>
      <c r="S234" s="6"/>
      <c r="T234" s="6"/>
      <c r="U234" s="6"/>
    </row>
    <row r="235" spans="1:21" x14ac:dyDescent="0.2">
      <c r="A235" s="18" t="s">
        <v>571</v>
      </c>
    </row>
    <row r="236" spans="1:21" ht="15" x14ac:dyDescent="0.25">
      <c r="A236" s="2" t="s">
        <v>493</v>
      </c>
      <c r="B236" s="4"/>
      <c r="D236" s="39">
        <f>SUM($D$237:D$237)</f>
        <v>0</v>
      </c>
      <c r="E236" s="39">
        <f>SUM($D$237:E$237)</f>
        <v>0</v>
      </c>
      <c r="F236" s="39">
        <f>SUM($D$237:F$237)</f>
        <v>0</v>
      </c>
      <c r="G236" s="38">
        <f>SUM($D$237:G$237)</f>
        <v>0.186</v>
      </c>
      <c r="H236" s="38">
        <f>SUM($D$237:H$237)</f>
        <v>0.76</v>
      </c>
      <c r="I236" s="38">
        <f>SUM($D$237:I$237)</f>
        <v>3.0699999999999994</v>
      </c>
      <c r="J236" s="38">
        <f>SUM($D$237:J$237)</f>
        <v>5.6859999999999999</v>
      </c>
      <c r="K236" s="38">
        <f>SUM($D$237:K$237)</f>
        <v>8.1289999999999996</v>
      </c>
      <c r="L236" s="7">
        <f ca="1">SUM($D$237:L$237)</f>
        <v>10.329000000000001</v>
      </c>
      <c r="M236" s="7">
        <f ca="1">SUM($D$237:M$237)</f>
        <v>12.628</v>
      </c>
      <c r="N236" s="7">
        <f ca="1">SUM($D$237:N$237)</f>
        <v>15.030455</v>
      </c>
      <c r="O236" s="7">
        <f ca="1">SUM($D$237:O$237)</f>
        <v>17.541020475</v>
      </c>
      <c r="P236" s="7">
        <f ca="1">SUM($D$237:P$237)</f>
        <v>20.164561396374999</v>
      </c>
      <c r="Q236" s="7">
        <f ca="1">SUM($D$237:Q$237)</f>
        <v>22.906161659211875</v>
      </c>
      <c r="R236" s="7">
        <f ca="1">SUM($D$237:R$237)</f>
        <v>25.77113393387641</v>
      </c>
      <c r="S236" s="7">
        <f ca="1">SUM($D$237:S$237)</f>
        <v>28.765029960900847</v>
      </c>
      <c r="T236" s="7">
        <f ca="1">SUM($D$237:T$237)</f>
        <v>31.893651309141383</v>
      </c>
      <c r="U236" s="7">
        <f ca="1">SUM($D$237:U$237)</f>
        <v>35.163060618052739</v>
      </c>
    </row>
    <row r="237" spans="1:21" x14ac:dyDescent="0.2">
      <c r="A237" s="1" t="s">
        <v>837</v>
      </c>
      <c r="B237" s="4" t="str">
        <f t="shared" si="123"/>
        <v>From Fiscal</v>
      </c>
      <c r="D237" s="14">
        <f>'Fiscal Forecasts'!D$21-'Fiscal Forecasts'!C$21</f>
        <v>0</v>
      </c>
      <c r="E237" s="14">
        <f>'Fiscal Forecasts'!E$21-'Fiscal Forecasts'!D$21</f>
        <v>0</v>
      </c>
      <c r="F237" s="14">
        <f>'Fiscal Forecasts'!F$21-'Fiscal Forecasts'!E$21</f>
        <v>0</v>
      </c>
      <c r="G237" s="15">
        <f>'Fiscal Forecasts'!G$21-'Fiscal Forecasts'!F$21</f>
        <v>0.186</v>
      </c>
      <c r="H237" s="15">
        <f>'Fiscal Forecasts'!H$21-'Fiscal Forecasts'!G$21</f>
        <v>0.57400000000000007</v>
      </c>
      <c r="I237" s="15">
        <f>'Fiscal Forecasts'!I$21-'Fiscal Forecasts'!H$21</f>
        <v>2.3099999999999996</v>
      </c>
      <c r="J237" s="15">
        <f>'Fiscal Forecasts'!J$21-'Fiscal Forecasts'!I$21</f>
        <v>2.6160000000000001</v>
      </c>
      <c r="K237" s="15">
        <f>'Fiscal Forecasts'!K$21-'Fiscal Forecasts'!J$21</f>
        <v>2.4429999999999996</v>
      </c>
      <c r="L237" s="6">
        <f ca="1">IF(AND(OFFSET(Assumptions!$B$89,0,$C$1)="Yes",L$6&gt;=OFFSET(Assumptions!$B$90,0,$C$1)),L$238*L$13,IF(L$6=OFFSET(Assumptions!$B$8,0,$C$1),OFFSET(Assumptions!$B$64,0,$C$1),K$237*(1+OFFSET(Assumptions!$B$65,0,$C$1))))</f>
        <v>2.2000000000000002</v>
      </c>
      <c r="M237" s="6">
        <f ca="1">IF(AND(OFFSET(Assumptions!$B$89,0,$C$1)="Yes",M$6&gt;=OFFSET(Assumptions!$B$90,0,$C$1)),M$238*M$13,IF(M$6=OFFSET(Assumptions!$B$8,0,$C$1),OFFSET(Assumptions!$B$64,0,$C$1),L$237*(1+OFFSET(Assumptions!$B$65,0,$C$1))))</f>
        <v>2.2989999999999999</v>
      </c>
      <c r="N237" s="6">
        <f ca="1">IF(AND(OFFSET(Assumptions!$B$89,0,$C$1)="Yes",N$6&gt;=OFFSET(Assumptions!$B$90,0,$C$1)),N$238*N$13,IF(N$6=OFFSET(Assumptions!$B$8,0,$C$1),OFFSET(Assumptions!$B$64,0,$C$1),M$237*(1+OFFSET(Assumptions!$B$65,0,$C$1))))</f>
        <v>2.4024549999999998</v>
      </c>
      <c r="O237" s="6">
        <f ca="1">IF(AND(OFFSET(Assumptions!$B$89,0,$C$1)="Yes",O$6&gt;=OFFSET(Assumptions!$B$90,0,$C$1)),O$238*O$13,IF(O$6=OFFSET(Assumptions!$B$8,0,$C$1),OFFSET(Assumptions!$B$64,0,$C$1),N$237*(1+OFFSET(Assumptions!$B$65,0,$C$1))))</f>
        <v>2.5105654749999995</v>
      </c>
      <c r="P237" s="6">
        <f ca="1">IF(AND(OFFSET(Assumptions!$B$89,0,$C$1)="Yes",P$6&gt;=OFFSET(Assumptions!$B$90,0,$C$1)),P$238*P$13,IF(P$6=OFFSET(Assumptions!$B$8,0,$C$1),OFFSET(Assumptions!$B$64,0,$C$1),O$237*(1+OFFSET(Assumptions!$B$65,0,$C$1))))</f>
        <v>2.6235409213749992</v>
      </c>
      <c r="Q237" s="6">
        <f ca="1">IF(AND(OFFSET(Assumptions!$B$89,0,$C$1)="Yes",Q$6&gt;=OFFSET(Assumptions!$B$90,0,$C$1)),Q$238*Q$13,IF(Q$6=OFFSET(Assumptions!$B$8,0,$C$1),OFFSET(Assumptions!$B$64,0,$C$1),P$237*(1+OFFSET(Assumptions!$B$65,0,$C$1))))</f>
        <v>2.7416002628368741</v>
      </c>
      <c r="R237" s="6">
        <f ca="1">IF(AND(OFFSET(Assumptions!$B$89,0,$C$1)="Yes",R$6&gt;=OFFSET(Assumptions!$B$90,0,$C$1)),R$238*R$13,IF(R$6=OFFSET(Assumptions!$B$8,0,$C$1),OFFSET(Assumptions!$B$64,0,$C$1),Q$237*(1+OFFSET(Assumptions!$B$65,0,$C$1))))</f>
        <v>2.8649722746645332</v>
      </c>
      <c r="S237" s="6">
        <f ca="1">IF(AND(OFFSET(Assumptions!$B$89,0,$C$1)="Yes",S$6&gt;=OFFSET(Assumptions!$B$90,0,$C$1)),S$238*S$13,IF(S$6=OFFSET(Assumptions!$B$8,0,$C$1),OFFSET(Assumptions!$B$64,0,$C$1),R$237*(1+OFFSET(Assumptions!$B$65,0,$C$1))))</f>
        <v>2.9938960270244368</v>
      </c>
      <c r="T237" s="6">
        <f ca="1">IF(AND(OFFSET(Assumptions!$B$89,0,$C$1)="Yes",T$6&gt;=OFFSET(Assumptions!$B$90,0,$C$1)),T$238*T$13,IF(T$6=OFFSET(Assumptions!$B$8,0,$C$1),OFFSET(Assumptions!$B$64,0,$C$1),S$237*(1+OFFSET(Assumptions!$B$65,0,$C$1))))</f>
        <v>3.1286213482405363</v>
      </c>
      <c r="U237" s="6">
        <f ca="1">IF(AND(OFFSET(Assumptions!$B$89,0,$C$1)="Yes",U$6&gt;=OFFSET(Assumptions!$B$90,0,$C$1)),U$238*U$13,IF(U$6=OFFSET(Assumptions!$B$8,0,$C$1),OFFSET(Assumptions!$B$64,0,$C$1),T$237*(1+OFFSET(Assumptions!$B$65,0,$C$1))))</f>
        <v>3.2694093089113601</v>
      </c>
    </row>
    <row r="238" spans="1:21" x14ac:dyDescent="0.2">
      <c r="A238" s="1" t="s">
        <v>834</v>
      </c>
      <c r="B238" s="4"/>
      <c r="D238" s="50">
        <f t="shared" ref="D238:K238" si="125">D$237/D$13</f>
        <v>0</v>
      </c>
      <c r="E238" s="50">
        <f t="shared" si="125"/>
        <v>0</v>
      </c>
      <c r="F238" s="50">
        <f t="shared" si="125"/>
        <v>0</v>
      </c>
      <c r="G238" s="51">
        <f t="shared" si="125"/>
        <v>6.3913133117998765E-4</v>
      </c>
      <c r="H238" s="51">
        <f t="shared" si="125"/>
        <v>1.8844942890630387E-3</v>
      </c>
      <c r="I238" s="51">
        <f t="shared" si="125"/>
        <v>7.2194042585109267E-3</v>
      </c>
      <c r="J238" s="51">
        <f t="shared" si="125"/>
        <v>7.815464222441974E-3</v>
      </c>
      <c r="K238" s="51">
        <f t="shared" si="125"/>
        <v>6.9841505809166583E-3</v>
      </c>
      <c r="L238" s="8">
        <f ca="1">IF(K$75/K$13-OFFSET(Assumptions!$B$91,0,$C$1)&gt;OFFSET(Assumptions!$B$92,0,$C$1),OFFSET(Assumptions!$B$93,0,$C$1),IF(K$75/K$13-OFFSET(Assumptions!$B$91,0,$C$1)&lt;-OFFSET(Assumptions!$B$92,0,$C$1),OFFSET(Assumptions!$B$95,0,$C$1),OFFSET(Assumptions!$B$94,0,$C$1)))</f>
        <v>5.0000000000000001E-3</v>
      </c>
      <c r="M238" s="8">
        <f ca="1">IF(L$75/L$13-OFFSET(Assumptions!$B$91,0,$C$1)&gt;OFFSET(Assumptions!$B$92,0,$C$1),OFFSET(Assumptions!$B$93,0,$C$1),IF(L$75/L$13-OFFSET(Assumptions!$B$91,0,$C$1)&lt;-OFFSET(Assumptions!$B$92,0,$C$1),OFFSET(Assumptions!$B$95,0,$C$1),OFFSET(Assumptions!$B$94,0,$C$1)))</f>
        <v>5.0000000000000001E-3</v>
      </c>
      <c r="N238" s="8">
        <f ca="1">IF(M$75/M$13-OFFSET(Assumptions!$B$91,0,$C$1)&gt;OFFSET(Assumptions!$B$92,0,$C$1),OFFSET(Assumptions!$B$93,0,$C$1),IF(M$75/M$13-OFFSET(Assumptions!$B$91,0,$C$1)&lt;-OFFSET(Assumptions!$B$92,0,$C$1),OFFSET(Assumptions!$B$95,0,$C$1),OFFSET(Assumptions!$B$94,0,$C$1)))</f>
        <v>5.0000000000000001E-3</v>
      </c>
      <c r="O238" s="8">
        <f ca="1">IF(N$75/N$13-OFFSET(Assumptions!$B$91,0,$C$1)&gt;OFFSET(Assumptions!$B$92,0,$C$1),OFFSET(Assumptions!$B$93,0,$C$1),IF(N$75/N$13-OFFSET(Assumptions!$B$91,0,$C$1)&lt;-OFFSET(Assumptions!$B$92,0,$C$1),OFFSET(Assumptions!$B$95,0,$C$1),OFFSET(Assumptions!$B$94,0,$C$1)))</f>
        <v>5.0000000000000001E-3</v>
      </c>
      <c r="P238" s="8">
        <f ca="1">IF(O$75/O$13-OFFSET(Assumptions!$B$91,0,$C$1)&gt;OFFSET(Assumptions!$B$92,0,$C$1),OFFSET(Assumptions!$B$93,0,$C$1),IF(O$75/O$13-OFFSET(Assumptions!$B$91,0,$C$1)&lt;-OFFSET(Assumptions!$B$92,0,$C$1),OFFSET(Assumptions!$B$95,0,$C$1),OFFSET(Assumptions!$B$94,0,$C$1)))</f>
        <v>5.0000000000000001E-3</v>
      </c>
      <c r="Q238" s="8">
        <f ca="1">IF(P$75/P$13-OFFSET(Assumptions!$B$91,0,$C$1)&gt;OFFSET(Assumptions!$B$92,0,$C$1),OFFSET(Assumptions!$B$93,0,$C$1),IF(P$75/P$13-OFFSET(Assumptions!$B$91,0,$C$1)&lt;-OFFSET(Assumptions!$B$92,0,$C$1),OFFSET(Assumptions!$B$95,0,$C$1),OFFSET(Assumptions!$B$94,0,$C$1)))</f>
        <v>5.0000000000000001E-3</v>
      </c>
      <c r="R238" s="8">
        <f ca="1">IF(Q$75/Q$13-OFFSET(Assumptions!$B$91,0,$C$1)&gt;OFFSET(Assumptions!$B$92,0,$C$1),OFFSET(Assumptions!$B$93,0,$C$1),IF(Q$75/Q$13-OFFSET(Assumptions!$B$91,0,$C$1)&lt;-OFFSET(Assumptions!$B$92,0,$C$1),OFFSET(Assumptions!$B$95,0,$C$1),OFFSET(Assumptions!$B$94,0,$C$1)))</f>
        <v>5.0000000000000001E-3</v>
      </c>
      <c r="S238" s="8">
        <f ca="1">IF(R$75/R$13-OFFSET(Assumptions!$B$91,0,$C$1)&gt;OFFSET(Assumptions!$B$92,0,$C$1),OFFSET(Assumptions!$B$93,0,$C$1),IF(R$75/R$13-OFFSET(Assumptions!$B$91,0,$C$1)&lt;-OFFSET(Assumptions!$B$92,0,$C$1),OFFSET(Assumptions!$B$95,0,$C$1),OFFSET(Assumptions!$B$94,0,$C$1)))</f>
        <v>5.0000000000000001E-3</v>
      </c>
      <c r="T238" s="8">
        <f ca="1">IF(S$75/S$13-OFFSET(Assumptions!$B$91,0,$C$1)&gt;OFFSET(Assumptions!$B$92,0,$C$1),OFFSET(Assumptions!$B$93,0,$C$1),IF(S$75/S$13-OFFSET(Assumptions!$B$91,0,$C$1)&lt;-OFFSET(Assumptions!$B$92,0,$C$1),OFFSET(Assumptions!$B$95,0,$C$1),OFFSET(Assumptions!$B$94,0,$C$1)))</f>
        <v>5.0000000000000001E-3</v>
      </c>
      <c r="U238" s="8">
        <f ca="1">IF(T$75/T$13-OFFSET(Assumptions!$B$91,0,$C$1)&gt;OFFSET(Assumptions!$B$92,0,$C$1),OFFSET(Assumptions!$B$93,0,$C$1),IF(T$75/T$13-OFFSET(Assumptions!$B$91,0,$C$1)&lt;-OFFSET(Assumptions!$B$92,0,$C$1),OFFSET(Assumptions!$B$95,0,$C$1),OFFSET(Assumptions!$B$94,0,$C$1)))</f>
        <v>5.0000000000000001E-3</v>
      </c>
    </row>
    <row r="239" spans="1:21" ht="15" x14ac:dyDescent="0.25">
      <c r="A239" s="2" t="s">
        <v>152</v>
      </c>
      <c r="B239" s="4"/>
      <c r="D239" s="39">
        <f>SUM($D$240:D$240)</f>
        <v>0</v>
      </c>
      <c r="E239" s="39">
        <f>SUM($D$240:E$240)</f>
        <v>0</v>
      </c>
      <c r="F239" s="39">
        <f>SUM($D$240:F$240)</f>
        <v>0</v>
      </c>
      <c r="G239" s="38">
        <f>SUM($D$240:G$240)</f>
        <v>-0.3</v>
      </c>
      <c r="H239" s="38">
        <f>SUM($D$240:H$240)</f>
        <v>-1.145</v>
      </c>
      <c r="I239" s="38">
        <f>SUM($D$240:I$240)</f>
        <v>-0.32499999999999996</v>
      </c>
      <c r="J239" s="38">
        <f>SUM($D$240:J$240)</f>
        <v>-0.32499999999999996</v>
      </c>
      <c r="K239" s="38">
        <f>SUM($D$240:K$240)</f>
        <v>-0.27499999999999997</v>
      </c>
      <c r="L239" s="7">
        <f ca="1">SUM($D$240:L$240)</f>
        <v>-0.28737499999999999</v>
      </c>
      <c r="M239" s="7">
        <f ca="1">SUM($D$240:M$240)</f>
        <v>-0.30030687499999997</v>
      </c>
      <c r="N239" s="7">
        <f ca="1">SUM($D$240:N$240)</f>
        <v>-0.31382068437499999</v>
      </c>
      <c r="O239" s="7">
        <f ca="1">SUM($D$240:O$240)</f>
        <v>-0.32794261517187501</v>
      </c>
      <c r="P239" s="7">
        <f ca="1">SUM($D$240:P$240)</f>
        <v>-0.34270003285460937</v>
      </c>
      <c r="Q239" s="7">
        <f ca="1">SUM($D$240:Q$240)</f>
        <v>-0.35812153433306682</v>
      </c>
      <c r="R239" s="7">
        <f ca="1">SUM($D$240:R$240)</f>
        <v>-0.37423700337805482</v>
      </c>
      <c r="S239" s="7">
        <f ca="1">SUM($D$240:S$240)</f>
        <v>-0.39107766853006731</v>
      </c>
      <c r="T239" s="7">
        <f ca="1">SUM($D$240:T$240)</f>
        <v>-0.40867616361392034</v>
      </c>
      <c r="U239" s="7">
        <f ca="1">SUM($D$240:U$240)</f>
        <v>-0.42706659097654676</v>
      </c>
    </row>
    <row r="240" spans="1:21" x14ac:dyDescent="0.2">
      <c r="A240" s="1" t="s">
        <v>838</v>
      </c>
      <c r="B240" s="4" t="str">
        <f t="shared" si="123"/>
        <v>From Fiscal</v>
      </c>
      <c r="D240" s="14">
        <f>'Fiscal Forecasts'!D$22-'Fiscal Forecasts'!C$22</f>
        <v>0</v>
      </c>
      <c r="E240" s="14">
        <f>'Fiscal Forecasts'!E$22-'Fiscal Forecasts'!D$22</f>
        <v>0</v>
      </c>
      <c r="F240" s="14">
        <f>'Fiscal Forecasts'!F$22-'Fiscal Forecasts'!E$22</f>
        <v>0</v>
      </c>
      <c r="G240" s="15">
        <f>'Fiscal Forecasts'!G$22-'Fiscal Forecasts'!F$22</f>
        <v>-0.3</v>
      </c>
      <c r="H240" s="15">
        <f>'Fiscal Forecasts'!H$22-'Fiscal Forecasts'!G$22</f>
        <v>-0.84499999999999997</v>
      </c>
      <c r="I240" s="15">
        <f>'Fiscal Forecasts'!I$22-'Fiscal Forecasts'!H$22</f>
        <v>0.82000000000000006</v>
      </c>
      <c r="J240" s="15">
        <f>'Fiscal Forecasts'!J$22-'Fiscal Forecasts'!I$22</f>
        <v>0</v>
      </c>
      <c r="K240" s="15">
        <f>'Fiscal Forecasts'!K$22-'Fiscal Forecasts'!J$22</f>
        <v>4.9999999999999989E-2</v>
      </c>
      <c r="L240" s="6">
        <f ca="1">SUM($D$240:K$240)*OFFSET(Assumptions!$B$65,0,$C$1)</f>
        <v>-1.2374999999999999E-2</v>
      </c>
      <c r="M240" s="6">
        <f ca="1">SUM($D$240:L$240)*OFFSET(Assumptions!$B$65,0,$C$1)</f>
        <v>-1.2931874999999999E-2</v>
      </c>
      <c r="N240" s="6">
        <f ca="1">SUM($D$240:M$240)*OFFSET(Assumptions!$B$65,0,$C$1)</f>
        <v>-1.3513809374999998E-2</v>
      </c>
      <c r="O240" s="6">
        <f ca="1">SUM($D$240:N$240)*OFFSET(Assumptions!$B$65,0,$C$1)</f>
        <v>-1.4121930796875E-2</v>
      </c>
      <c r="P240" s="6">
        <f ca="1">SUM($D$240:O$240)*OFFSET(Assumptions!$B$65,0,$C$1)</f>
        <v>-1.4757417682734374E-2</v>
      </c>
      <c r="Q240" s="6">
        <f ca="1">SUM($D$240:P$240)*OFFSET(Assumptions!$B$65,0,$C$1)</f>
        <v>-1.5421501478457422E-2</v>
      </c>
      <c r="R240" s="6">
        <f ca="1">SUM($D$240:Q$240)*OFFSET(Assumptions!$B$65,0,$C$1)</f>
        <v>-1.6115469044988007E-2</v>
      </c>
      <c r="S240" s="6">
        <f ca="1">SUM($D$240:R$240)*OFFSET(Assumptions!$B$65,0,$C$1)</f>
        <v>-1.6840665152012466E-2</v>
      </c>
      <c r="T240" s="6">
        <f ca="1">SUM($D$240:S$240)*OFFSET(Assumptions!$B$65,0,$C$1)</f>
        <v>-1.7598495083853027E-2</v>
      </c>
      <c r="U240" s="6">
        <f ca="1">SUM($D$240:T$240)*OFFSET(Assumptions!$B$65,0,$C$1)</f>
        <v>-1.8390427362626416E-2</v>
      </c>
    </row>
    <row r="241" spans="1:21" x14ac:dyDescent="0.2">
      <c r="B241" s="4"/>
      <c r="D241" s="14"/>
      <c r="E241" s="14"/>
      <c r="F241" s="14"/>
      <c r="G241" s="15"/>
      <c r="H241" s="15"/>
      <c r="I241" s="15"/>
      <c r="J241" s="15"/>
      <c r="K241" s="15"/>
      <c r="L241" s="6"/>
      <c r="M241" s="6"/>
      <c r="N241" s="6"/>
      <c r="O241" s="6"/>
      <c r="P241" s="6"/>
      <c r="Q241" s="6"/>
      <c r="R241" s="6"/>
      <c r="S241" s="6"/>
      <c r="T241" s="6"/>
      <c r="U241" s="6"/>
    </row>
    <row r="242" spans="1:21" x14ac:dyDescent="0.2">
      <c r="A242" s="18" t="s">
        <v>572</v>
      </c>
    </row>
    <row r="243" spans="1:21" ht="15" x14ac:dyDescent="0.25">
      <c r="A243" s="2" t="s">
        <v>573</v>
      </c>
      <c r="B243" s="4" t="str">
        <f t="shared" si="123"/>
        <v>From Fiscal</v>
      </c>
      <c r="D243" s="39">
        <f>'Fiscal Forecasts'!D$64</f>
        <v>0.35799999999999998</v>
      </c>
      <c r="E243" s="39">
        <f>'Fiscal Forecasts'!E$64</f>
        <v>0.27100000000000002</v>
      </c>
      <c r="F243" s="39">
        <f>'Fiscal Forecasts'!F$64</f>
        <v>0.217</v>
      </c>
      <c r="G243" s="38">
        <f>'Fiscal Forecasts'!G$64</f>
        <v>0.15</v>
      </c>
      <c r="H243" s="38">
        <f>'Fiscal Forecasts'!H$64</f>
        <v>0.122</v>
      </c>
      <c r="I243" s="38">
        <f>'Fiscal Forecasts'!I$64</f>
        <v>0.14799999999999999</v>
      </c>
      <c r="J243" s="38">
        <f>'Fiscal Forecasts'!J$64</f>
        <v>0.185</v>
      </c>
      <c r="K243" s="38">
        <f>'Fiscal Forecasts'!K$64</f>
        <v>0.21299999999999999</v>
      </c>
      <c r="L243" s="7">
        <f>K$243*Exogenous!S$32/Exogenous!R$32</f>
        <v>0.20938983050847459</v>
      </c>
      <c r="M243" s="7">
        <f>L$243*Exogenous!T$32/Exogenous!S$32</f>
        <v>0.21093704600484259</v>
      </c>
      <c r="N243" s="7">
        <f>M$243*Exogenous!U$32/Exogenous!T$32</f>
        <v>0.21196852300242128</v>
      </c>
      <c r="O243" s="7">
        <f>N$243*Exogenous!V$32/Exogenous!U$32</f>
        <v>0.21299999999999997</v>
      </c>
      <c r="P243" s="7">
        <f>O$243*Exogenous!W$32/Exogenous!V$32</f>
        <v>0.21351573849878933</v>
      </c>
      <c r="Q243" s="7">
        <f>P$243*Exogenous!X$32/Exogenous!W$32</f>
        <v>0.21093704600484262</v>
      </c>
      <c r="R243" s="7">
        <f>Q$243*Exogenous!Y$32/Exogenous!X$32</f>
        <v>0.2026852300242131</v>
      </c>
      <c r="S243" s="7">
        <f>R$243*Exogenous!Z$32/Exogenous!Y$32</f>
        <v>0.19494915254237291</v>
      </c>
      <c r="T243" s="7">
        <f>S$243*Exogenous!AA$32/Exogenous!Z$32</f>
        <v>0.18618159806295401</v>
      </c>
      <c r="U243" s="7">
        <f>T$243*Exogenous!AB$32/Exogenous!AA$32</f>
        <v>0.1774140435835351</v>
      </c>
    </row>
    <row r="244" spans="1:21" ht="15" x14ac:dyDescent="0.25">
      <c r="A244" s="2" t="s">
        <v>574</v>
      </c>
      <c r="B244" s="4" t="str">
        <f t="shared" si="123"/>
        <v>From Fiscal</v>
      </c>
      <c r="D244" s="39">
        <f>'Fiscal Forecasts'!D$47</f>
        <v>0.373</v>
      </c>
      <c r="E244" s="39">
        <f>'Fiscal Forecasts'!E$47</f>
        <v>0.28599999999999998</v>
      </c>
      <c r="F244" s="39">
        <f>'Fiscal Forecasts'!F$47</f>
        <v>0.23100000000000001</v>
      </c>
      <c r="G244" s="38">
        <f>'Fiscal Forecasts'!G$47</f>
        <v>0.16300000000000001</v>
      </c>
      <c r="H244" s="38">
        <f>'Fiscal Forecasts'!H$47</f>
        <v>0.13500000000000001</v>
      </c>
      <c r="I244" s="38">
        <f>'Fiscal Forecasts'!I$47</f>
        <v>0.161</v>
      </c>
      <c r="J244" s="38">
        <f>'Fiscal Forecasts'!J$47</f>
        <v>0.19800000000000001</v>
      </c>
      <c r="K244" s="38">
        <f>'Fiscal Forecasts'!K$47</f>
        <v>0.22600000000000001</v>
      </c>
      <c r="L244" s="7">
        <f>K$244*Exogenous!S$32/Exogenous!R$32</f>
        <v>0.22216949152542376</v>
      </c>
      <c r="M244" s="7">
        <f>L$244*Exogenous!T$32/Exogenous!S$32</f>
        <v>0.22381113801452784</v>
      </c>
      <c r="N244" s="7">
        <f>M$244*Exogenous!U$32/Exogenous!T$32</f>
        <v>0.22490556900726391</v>
      </c>
      <c r="O244" s="7">
        <f>N$244*Exogenous!V$32/Exogenous!U$32</f>
        <v>0.22600000000000001</v>
      </c>
      <c r="P244" s="7">
        <f>O$244*Exogenous!W$32/Exogenous!V$32</f>
        <v>0.22654721549636803</v>
      </c>
      <c r="Q244" s="7">
        <f>P$244*Exogenous!X$32/Exogenous!W$32</f>
        <v>0.22381113801452784</v>
      </c>
      <c r="R244" s="7">
        <f>Q$244*Exogenous!Y$32/Exogenous!X$32</f>
        <v>0.21505569007263925</v>
      </c>
      <c r="S244" s="7">
        <f>R$244*Exogenous!Z$32/Exogenous!Y$32</f>
        <v>0.20684745762711865</v>
      </c>
      <c r="T244" s="7">
        <f>S$244*Exogenous!AA$32/Exogenous!Z$32</f>
        <v>0.19754479418886198</v>
      </c>
      <c r="U244" s="7">
        <f>T$244*Exogenous!AB$32/Exogenous!AA$32</f>
        <v>0.18824213075060531</v>
      </c>
    </row>
    <row r="245" spans="1:21" ht="15" x14ac:dyDescent="0.25">
      <c r="A245" s="2"/>
      <c r="B245" s="4"/>
      <c r="D245" s="39"/>
      <c r="E245" s="39"/>
      <c r="F245" s="39"/>
      <c r="G245" s="38"/>
      <c r="H245" s="38"/>
      <c r="I245" s="38"/>
      <c r="J245" s="38"/>
      <c r="K245" s="38"/>
      <c r="L245" s="7"/>
      <c r="M245" s="7"/>
      <c r="N245" s="7"/>
      <c r="O245" s="7"/>
      <c r="P245" s="7"/>
      <c r="Q245" s="7"/>
      <c r="R245" s="7"/>
      <c r="S245" s="7"/>
      <c r="T245" s="7"/>
      <c r="U245" s="7"/>
    </row>
    <row r="246" spans="1:21" x14ac:dyDescent="0.2">
      <c r="A246" s="18" t="s">
        <v>496</v>
      </c>
    </row>
    <row r="247" spans="1:21" x14ac:dyDescent="0.2">
      <c r="A247" s="1" t="s">
        <v>298</v>
      </c>
      <c r="B247" s="4" t="str">
        <f>$B$37</f>
        <v>From Fiscal</v>
      </c>
      <c r="D247" s="14">
        <f>'Fiscal Forecasts'!D$53</f>
        <v>15.058</v>
      </c>
      <c r="E247" s="14">
        <f>'Fiscal Forecasts'!E$53</f>
        <v>15.625999999999999</v>
      </c>
      <c r="F247" s="14">
        <f>'Fiscal Forecasts'!F$53</f>
        <v>16.222999999999999</v>
      </c>
      <c r="G247" s="15">
        <f>'Fiscal Forecasts'!G$53</f>
        <v>17.184999999999999</v>
      </c>
      <c r="H247" s="15">
        <f>'Fiscal Forecasts'!H$53</f>
        <v>18.071000000000002</v>
      </c>
      <c r="I247" s="15">
        <f>'Fiscal Forecasts'!I$53</f>
        <v>18.081</v>
      </c>
      <c r="J247" s="15">
        <f>'Fiscal Forecasts'!J$53</f>
        <v>17.988</v>
      </c>
      <c r="K247" s="15">
        <f>'Fiscal Forecasts'!K$53</f>
        <v>18.091999999999999</v>
      </c>
      <c r="L247" s="6">
        <f>K$247</f>
        <v>18.091999999999999</v>
      </c>
      <c r="M247" s="6">
        <f t="shared" ref="M247:U247" si="126">L$247</f>
        <v>18.091999999999999</v>
      </c>
      <c r="N247" s="6">
        <f t="shared" si="126"/>
        <v>18.091999999999999</v>
      </c>
      <c r="O247" s="6">
        <f t="shared" si="126"/>
        <v>18.091999999999999</v>
      </c>
      <c r="P247" s="6">
        <f t="shared" si="126"/>
        <v>18.091999999999999</v>
      </c>
      <c r="Q247" s="6">
        <f t="shared" si="126"/>
        <v>18.091999999999999</v>
      </c>
      <c r="R247" s="6">
        <f t="shared" si="126"/>
        <v>18.091999999999999</v>
      </c>
      <c r="S247" s="6">
        <f t="shared" si="126"/>
        <v>18.091999999999999</v>
      </c>
      <c r="T247" s="6">
        <f t="shared" si="126"/>
        <v>18.091999999999999</v>
      </c>
      <c r="U247" s="6">
        <f t="shared" si="126"/>
        <v>18.091999999999999</v>
      </c>
    </row>
    <row r="248" spans="1:21" x14ac:dyDescent="0.2">
      <c r="A248" s="1" t="s">
        <v>272</v>
      </c>
      <c r="B248" s="4" t="str">
        <f>$B$37</f>
        <v>From Fiscal</v>
      </c>
      <c r="D248" s="14">
        <f>'Fiscal Forecasts'!D$193</f>
        <v>12.922000000000001</v>
      </c>
      <c r="E248" s="14">
        <f>'Fiscal Forecasts'!E$193</f>
        <v>13.347</v>
      </c>
      <c r="F248" s="14">
        <f>'Fiscal Forecasts'!F$193</f>
        <v>13.955</v>
      </c>
      <c r="G248" s="15">
        <f>'Fiscal Forecasts'!G$193</f>
        <v>14.637</v>
      </c>
      <c r="H248" s="15">
        <f>'Fiscal Forecasts'!H$193</f>
        <v>15.157999999999999</v>
      </c>
      <c r="I248" s="15">
        <f>'Fiscal Forecasts'!I$193</f>
        <v>15.186</v>
      </c>
      <c r="J248" s="15">
        <f>'Fiscal Forecasts'!J$193</f>
        <v>15.101000000000001</v>
      </c>
      <c r="K248" s="15">
        <f>'Fiscal Forecasts'!K$193</f>
        <v>15.156000000000001</v>
      </c>
      <c r="L248" s="6">
        <f ca="1">IF(L$6=OFFSET(Assumptions!$B$8,0,$C$1),AVERAGE(I$248/I$247,J$248/J$247,K$248/K$247),K$248/K$247)*L$247</f>
        <v>15.179849062252993</v>
      </c>
      <c r="M248" s="6">
        <f ca="1">IF(M$6=OFFSET(Assumptions!$B$8,0,$C$1),AVERAGE(J$248/J$247,K$248/K$247,L$248/L$247),L$248/L$247)*M$247</f>
        <v>15.179849062252993</v>
      </c>
      <c r="N248" s="6">
        <f ca="1">IF(N$6=OFFSET(Assumptions!$B$8,0,$C$1),AVERAGE(K$248/K$247,L$248/L$247,M$248/M$247),M$248/M$247)*N$247</f>
        <v>15.179849062252993</v>
      </c>
      <c r="O248" s="6">
        <f ca="1">IF(O$6=OFFSET(Assumptions!$B$8,0,$C$1),AVERAGE(L$248/L$247,M$248/M$247,N$248/N$247),N$248/N$247)*O$247</f>
        <v>15.179849062252993</v>
      </c>
      <c r="P248" s="6">
        <f ca="1">IF(P$6=OFFSET(Assumptions!$B$8,0,$C$1),AVERAGE(M$248/M$247,N$248/N$247,O$248/O$247),O$248/O$247)*P$247</f>
        <v>15.179849062252993</v>
      </c>
      <c r="Q248" s="6">
        <f ca="1">IF(Q$6=OFFSET(Assumptions!$B$8,0,$C$1),AVERAGE(N$248/N$247,O$248/O$247,P$248/P$247),P$248/P$247)*Q$247</f>
        <v>15.179849062252993</v>
      </c>
      <c r="R248" s="6">
        <f ca="1">IF(R$6=OFFSET(Assumptions!$B$8,0,$C$1),AVERAGE(O$248/O$247,P$248/P$247,Q$248/Q$247),Q$248/Q$247)*R$247</f>
        <v>15.179849062252993</v>
      </c>
      <c r="S248" s="6">
        <f ca="1">IF(S$6=OFFSET(Assumptions!$B$8,0,$C$1),AVERAGE(P$248/P$247,Q$248/Q$247,R$248/R$247),R$248/R$247)*S$247</f>
        <v>15.179849062252993</v>
      </c>
      <c r="T248" s="6">
        <f ca="1">IF(T$6=OFFSET(Assumptions!$B$8,0,$C$1),AVERAGE(Q$248/Q$247,R$248/R$247,S$248/S$247),S$248/S$247)*T$247</f>
        <v>15.179849062252993</v>
      </c>
      <c r="U248" s="6">
        <f ca="1">IF(U$6=OFFSET(Assumptions!$B$8,0,$C$1),AVERAGE(R$248/R$247,S$248/S$247,T$248/T$247),T$248/T$247)*U$247</f>
        <v>15.179849062252993</v>
      </c>
    </row>
    <row r="249" spans="1:21" x14ac:dyDescent="0.2">
      <c r="A249" s="1" t="s">
        <v>484</v>
      </c>
      <c r="B249" s="4" t="str">
        <f>$B$37</f>
        <v>From Fiscal</v>
      </c>
      <c r="D249" s="14">
        <f>'Fiscal Forecasts'!D$36-SUM(D$247:D$248)</f>
        <v>-13.284000000000001</v>
      </c>
      <c r="E249" s="14">
        <f>'Fiscal Forecasts'!E$36-SUM(E$247:E$248)</f>
        <v>-13.812999999999999</v>
      </c>
      <c r="F249" s="14">
        <f>'Fiscal Forecasts'!F$36-SUM(F$247:F$248)</f>
        <v>-14.532999999999998</v>
      </c>
      <c r="G249" s="15">
        <f>'Fiscal Forecasts'!G$36-SUM(G$247:G$248)</f>
        <v>-15.035999999999998</v>
      </c>
      <c r="H249" s="15">
        <f>'Fiscal Forecasts'!H$36-SUM(H$247:H$248)</f>
        <v>-15.721999999999998</v>
      </c>
      <c r="I249" s="15">
        <f>'Fiscal Forecasts'!I$36-SUM(I$247:I$248)</f>
        <v>-15.724999999999994</v>
      </c>
      <c r="J249" s="15">
        <f>'Fiscal Forecasts'!J$36-SUM(J$247:J$248)</f>
        <v>-15.677</v>
      </c>
      <c r="K249" s="15">
        <f>'Fiscal Forecasts'!K$36-SUM(K$247:K$248)</f>
        <v>-15.746999999999996</v>
      </c>
      <c r="L249" s="6">
        <f ca="1">IF(L$6=OFFSET(Assumptions!$B$8,0,$C$1),AVERAGE(I$249/I$247,J$249/J$247,K$249/K$247),K$249/K$247)*L$247</f>
        <v>-15.749735106728288</v>
      </c>
      <c r="M249" s="6">
        <f ca="1">IF(M$6=OFFSET(Assumptions!$B$8,0,$C$1),AVERAGE(J$249/J$247,K$249/K$247,L$249/L$247),L$249/L$247)*M$247</f>
        <v>-15.749735106728288</v>
      </c>
      <c r="N249" s="6">
        <f ca="1">IF(N$6=OFFSET(Assumptions!$B$8,0,$C$1),AVERAGE(K$249/K$247,L$249/L$247,M$249/M$247),M$249/M$247)*N$247</f>
        <v>-15.749735106728288</v>
      </c>
      <c r="O249" s="6">
        <f ca="1">IF(O$6=OFFSET(Assumptions!$B$8,0,$C$1),AVERAGE(L$249/L$247,M$249/M$247,N$249/N$247),N$249/N$247)*O$247</f>
        <v>-15.749735106728288</v>
      </c>
      <c r="P249" s="6">
        <f ca="1">IF(P$6=OFFSET(Assumptions!$B$8,0,$C$1),AVERAGE(M$249/M$247,N$249/N$247,O$249/O$247),O$249/O$247)*P$247</f>
        <v>-15.749735106728288</v>
      </c>
      <c r="Q249" s="6">
        <f ca="1">IF(Q$6=OFFSET(Assumptions!$B$8,0,$C$1),AVERAGE(N$249/N$247,O$249/O$247,P$249/P$247),P$249/P$247)*Q$247</f>
        <v>-15.749735106728288</v>
      </c>
      <c r="R249" s="6">
        <f ca="1">IF(R$6=OFFSET(Assumptions!$B$8,0,$C$1),AVERAGE(O$249/O$247,P$249/P$247,Q$249/Q$247),Q$249/Q$247)*R$247</f>
        <v>-15.749735106728288</v>
      </c>
      <c r="S249" s="6">
        <f ca="1">IF(S$6=OFFSET(Assumptions!$B$8,0,$C$1),AVERAGE(P$249/P$247,Q$249/Q$247,R$249/R$247),R$249/R$247)*S$247</f>
        <v>-15.749735106728288</v>
      </c>
      <c r="T249" s="6">
        <f ca="1">IF(T$6=OFFSET(Assumptions!$B$8,0,$C$1),AVERAGE(Q$249/Q$247,R$249/R$247,S$249/S$247),S$249/S$247)*T$247</f>
        <v>-15.749735106728288</v>
      </c>
      <c r="U249" s="6">
        <f ca="1">IF(U$6=OFFSET(Assumptions!$B$8,0,$C$1),AVERAGE(R$249/R$247,S$249/S$247,T$249/T$247),T$249/T$247)*U$247</f>
        <v>-15.749735106728288</v>
      </c>
    </row>
    <row r="250" spans="1:21" ht="15" x14ac:dyDescent="0.25">
      <c r="A250" s="2" t="s">
        <v>497</v>
      </c>
      <c r="D250" s="34">
        <f t="shared" ref="D250:U250" si="127">SUM(D$247:D$249)</f>
        <v>14.696</v>
      </c>
      <c r="E250" s="34">
        <f t="shared" si="127"/>
        <v>15.16</v>
      </c>
      <c r="F250" s="34">
        <f t="shared" si="127"/>
        <v>15.645</v>
      </c>
      <c r="G250" s="33">
        <f t="shared" si="127"/>
        <v>16.786000000000001</v>
      </c>
      <c r="H250" s="33">
        <f t="shared" si="127"/>
        <v>17.507000000000001</v>
      </c>
      <c r="I250" s="33">
        <f t="shared" si="127"/>
        <v>17.542000000000002</v>
      </c>
      <c r="J250" s="33">
        <f t="shared" si="127"/>
        <v>17.411999999999999</v>
      </c>
      <c r="K250" s="33">
        <f t="shared" si="127"/>
        <v>17.501000000000001</v>
      </c>
      <c r="L250" s="37">
        <f t="shared" ca="1" si="127"/>
        <v>17.522113955524702</v>
      </c>
      <c r="M250" s="37">
        <f t="shared" ca="1" si="127"/>
        <v>17.522113955524702</v>
      </c>
      <c r="N250" s="37">
        <f t="shared" ca="1" si="127"/>
        <v>17.522113955524702</v>
      </c>
      <c r="O250" s="37">
        <f t="shared" ca="1" si="127"/>
        <v>17.522113955524702</v>
      </c>
      <c r="P250" s="37">
        <f t="shared" ca="1" si="127"/>
        <v>17.522113955524702</v>
      </c>
      <c r="Q250" s="37">
        <f t="shared" ca="1" si="127"/>
        <v>17.522113955524702</v>
      </c>
      <c r="R250" s="37">
        <f t="shared" ca="1" si="127"/>
        <v>17.522113955524702</v>
      </c>
      <c r="S250" s="37">
        <f t="shared" ca="1" si="127"/>
        <v>17.522113955524702</v>
      </c>
      <c r="T250" s="37">
        <f t="shared" ca="1" si="127"/>
        <v>17.522113955524702</v>
      </c>
      <c r="U250" s="37">
        <f t="shared" ca="1" si="127"/>
        <v>17.522113955524702</v>
      </c>
    </row>
    <row r="251" spans="1:21" ht="15" x14ac:dyDescent="0.25">
      <c r="A251" s="2"/>
      <c r="D251" s="46"/>
      <c r="E251" s="46"/>
      <c r="F251" s="46"/>
      <c r="G251" s="47"/>
      <c r="H251" s="47"/>
      <c r="I251" s="47"/>
      <c r="J251" s="47"/>
      <c r="K251" s="47"/>
      <c r="L251" s="48"/>
      <c r="M251" s="48"/>
      <c r="N251" s="48"/>
      <c r="O251" s="48"/>
      <c r="P251" s="48"/>
      <c r="Q251" s="48"/>
      <c r="R251" s="48"/>
      <c r="S251" s="48"/>
      <c r="T251" s="48"/>
      <c r="U251" s="48"/>
    </row>
    <row r="252" spans="1:21" x14ac:dyDescent="0.2">
      <c r="A252" s="18" t="s">
        <v>498</v>
      </c>
    </row>
    <row r="253" spans="1:21" x14ac:dyDescent="0.2">
      <c r="A253" s="1" t="s">
        <v>293</v>
      </c>
      <c r="D253" s="14">
        <f t="shared" ref="D253:U253" si="128">D$178</f>
        <v>0.51100000000000001</v>
      </c>
      <c r="E253" s="14">
        <f t="shared" si="128"/>
        <v>0.48599999999999999</v>
      </c>
      <c r="F253" s="14">
        <f t="shared" si="128"/>
        <v>0.46500000000000002</v>
      </c>
      <c r="G253" s="15">
        <f t="shared" si="128"/>
        <v>0.50900000000000001</v>
      </c>
      <c r="H253" s="15">
        <f t="shared" si="128"/>
        <v>0.58099999999999996</v>
      </c>
      <c r="I253" s="15">
        <f t="shared" si="128"/>
        <v>0.59</v>
      </c>
      <c r="J253" s="15">
        <f t="shared" si="128"/>
        <v>0.60799999999999998</v>
      </c>
      <c r="K253" s="15">
        <f t="shared" si="128"/>
        <v>0.626</v>
      </c>
      <c r="L253" s="6">
        <f t="shared" ca="1" si="128"/>
        <v>0.64567351220231128</v>
      </c>
      <c r="M253" s="6">
        <f t="shared" ca="1" si="128"/>
        <v>0.66578915149034679</v>
      </c>
      <c r="N253" s="6">
        <f t="shared" ca="1" si="128"/>
        <v>0.68655386872679935</v>
      </c>
      <c r="O253" s="6">
        <f t="shared" ca="1" si="128"/>
        <v>0.70760945854980395</v>
      </c>
      <c r="P253" s="6">
        <f t="shared" ca="1" si="128"/>
        <v>0.72894877235418698</v>
      </c>
      <c r="Q253" s="6">
        <f t="shared" ca="1" si="128"/>
        <v>0.75064570637928718</v>
      </c>
      <c r="R253" s="6">
        <f t="shared" ca="1" si="128"/>
        <v>0.77250024082221957</v>
      </c>
      <c r="S253" s="6">
        <f t="shared" ca="1" si="128"/>
        <v>0.79474440199590624</v>
      </c>
      <c r="T253" s="6">
        <f t="shared" ca="1" si="128"/>
        <v>0.81741207510311642</v>
      </c>
      <c r="U253" s="6">
        <f t="shared" ca="1" si="128"/>
        <v>0.84065565166648282</v>
      </c>
    </row>
    <row r="254" spans="1:21" x14ac:dyDescent="0.2">
      <c r="A254" s="1" t="s">
        <v>499</v>
      </c>
      <c r="D254" s="14">
        <f t="shared" ref="D254:U254" si="129">SUM(D$391,D$394)</f>
        <v>0.871</v>
      </c>
      <c r="E254" s="14">
        <f t="shared" si="129"/>
        <v>0.79900000000000004</v>
      </c>
      <c r="F254" s="14">
        <f t="shared" si="129"/>
        <v>0.60000000000000009</v>
      </c>
      <c r="G254" s="15">
        <f t="shared" si="129"/>
        <v>0.502</v>
      </c>
      <c r="H254" s="15">
        <f t="shared" si="129"/>
        <v>0.61</v>
      </c>
      <c r="I254" s="15">
        <f t="shared" si="129"/>
        <v>0.626</v>
      </c>
      <c r="J254" s="15">
        <f t="shared" si="129"/>
        <v>0.64900000000000002</v>
      </c>
      <c r="K254" s="15">
        <f t="shared" si="129"/>
        <v>0.66600000000000004</v>
      </c>
      <c r="L254" s="6">
        <f t="shared" si="129"/>
        <v>0.70199999999999996</v>
      </c>
      <c r="M254" s="6">
        <f t="shared" si="129"/>
        <v>0.72399999999999998</v>
      </c>
      <c r="N254" s="6">
        <f t="shared" si="129"/>
        <v>0.745</v>
      </c>
      <c r="O254" s="6">
        <f t="shared" si="129"/>
        <v>0.76600000000000001</v>
      </c>
      <c r="P254" s="6">
        <f t="shared" si="129"/>
        <v>0.78900000000000003</v>
      </c>
      <c r="Q254" s="6">
        <f t="shared" si="129"/>
        <v>0.81399999999999995</v>
      </c>
      <c r="R254" s="6">
        <f t="shared" si="129"/>
        <v>0.83799999999999997</v>
      </c>
      <c r="S254" s="6">
        <f t="shared" si="129"/>
        <v>0.86099999999999999</v>
      </c>
      <c r="T254" s="6">
        <f t="shared" si="129"/>
        <v>0.88400000000000001</v>
      </c>
      <c r="U254" s="6">
        <f t="shared" si="129"/>
        <v>0.90600000000000003</v>
      </c>
    </row>
    <row r="255" spans="1:21" x14ac:dyDescent="0.2">
      <c r="A255" s="1" t="s">
        <v>502</v>
      </c>
      <c r="B255" s="4" t="str">
        <f>$B$37</f>
        <v>From Fiscal</v>
      </c>
      <c r="D255" s="14">
        <f>'Fiscal Forecasts'!D$54-SUM(D$253:D$254)</f>
        <v>11.497</v>
      </c>
      <c r="E255" s="14">
        <f>'Fiscal Forecasts'!E$54-SUM(E$253:E$254)</f>
        <v>11.872999999999999</v>
      </c>
      <c r="F255" s="14">
        <f>'Fiscal Forecasts'!F$54-SUM(F$253:F$254)</f>
        <v>12.216000000000001</v>
      </c>
      <c r="G255" s="15">
        <f>'Fiscal Forecasts'!G$54-SUM(G$253:G$254)</f>
        <v>12.925999999999998</v>
      </c>
      <c r="H255" s="15">
        <f>'Fiscal Forecasts'!H$54-SUM(H$253:H$254)</f>
        <v>13.472000000000001</v>
      </c>
      <c r="I255" s="15">
        <f>'Fiscal Forecasts'!I$54-SUM(I$253:I$254)</f>
        <v>13.575000000000001</v>
      </c>
      <c r="J255" s="15">
        <f>'Fiscal Forecasts'!J$54-SUM(J$253:J$254)</f>
        <v>13.852</v>
      </c>
      <c r="K255" s="15">
        <f>'Fiscal Forecasts'!K$54-SUM(K$253:K$254)</f>
        <v>13.887</v>
      </c>
      <c r="L255" s="6">
        <f>K$255</f>
        <v>13.887</v>
      </c>
      <c r="M255" s="6">
        <f t="shared" ref="M255:U255" si="130">L$255</f>
        <v>13.887</v>
      </c>
      <c r="N255" s="6">
        <f t="shared" si="130"/>
        <v>13.887</v>
      </c>
      <c r="O255" s="6">
        <f t="shared" si="130"/>
        <v>13.887</v>
      </c>
      <c r="P255" s="6">
        <f t="shared" si="130"/>
        <v>13.887</v>
      </c>
      <c r="Q255" s="6">
        <f t="shared" si="130"/>
        <v>13.887</v>
      </c>
      <c r="R255" s="6">
        <f t="shared" si="130"/>
        <v>13.887</v>
      </c>
      <c r="S255" s="6">
        <f t="shared" si="130"/>
        <v>13.887</v>
      </c>
      <c r="T255" s="6">
        <f t="shared" si="130"/>
        <v>13.887</v>
      </c>
      <c r="U255" s="6">
        <f t="shared" si="130"/>
        <v>13.887</v>
      </c>
    </row>
    <row r="256" spans="1:21" ht="15" x14ac:dyDescent="0.25">
      <c r="A256" s="2" t="s">
        <v>503</v>
      </c>
      <c r="D256" s="34">
        <f t="shared" ref="D256:U256" si="131">SUM(D$253:D$255)</f>
        <v>12.879</v>
      </c>
      <c r="E256" s="34">
        <f t="shared" si="131"/>
        <v>13.157999999999999</v>
      </c>
      <c r="F256" s="34">
        <f t="shared" si="131"/>
        <v>13.281000000000001</v>
      </c>
      <c r="G256" s="33">
        <f t="shared" si="131"/>
        <v>13.936999999999998</v>
      </c>
      <c r="H256" s="33">
        <f t="shared" si="131"/>
        <v>14.663</v>
      </c>
      <c r="I256" s="33">
        <f t="shared" si="131"/>
        <v>14.791</v>
      </c>
      <c r="J256" s="33">
        <f t="shared" si="131"/>
        <v>15.109</v>
      </c>
      <c r="K256" s="33">
        <f t="shared" si="131"/>
        <v>15.179</v>
      </c>
      <c r="L256" s="37">
        <f t="shared" ca="1" si="131"/>
        <v>15.234673512202312</v>
      </c>
      <c r="M256" s="37">
        <f t="shared" ca="1" si="131"/>
        <v>15.276789151490348</v>
      </c>
      <c r="N256" s="37">
        <f t="shared" ca="1" si="131"/>
        <v>15.3185538687268</v>
      </c>
      <c r="O256" s="37">
        <f t="shared" ca="1" si="131"/>
        <v>15.360609458549805</v>
      </c>
      <c r="P256" s="37">
        <f t="shared" ca="1" si="131"/>
        <v>15.404948772354187</v>
      </c>
      <c r="Q256" s="37">
        <f t="shared" ca="1" si="131"/>
        <v>15.451645706379288</v>
      </c>
      <c r="R256" s="37">
        <f t="shared" ca="1" si="131"/>
        <v>15.49750024082222</v>
      </c>
      <c r="S256" s="37">
        <f t="shared" ca="1" si="131"/>
        <v>15.542744401995908</v>
      </c>
      <c r="T256" s="37">
        <f t="shared" ca="1" si="131"/>
        <v>15.588412075103117</v>
      </c>
      <c r="U256" s="37">
        <f t="shared" ca="1" si="131"/>
        <v>15.633655651666484</v>
      </c>
    </row>
    <row r="257" spans="1:21" x14ac:dyDescent="0.2">
      <c r="A257" s="1" t="s">
        <v>272</v>
      </c>
      <c r="B257" s="4" t="str">
        <f>$B$37</f>
        <v>From Fiscal</v>
      </c>
      <c r="D257" s="14">
        <f>'Fiscal Forecasts'!D$194</f>
        <v>9.8529999999999998</v>
      </c>
      <c r="E257" s="14">
        <f>'Fiscal Forecasts'!E$194</f>
        <v>10.16</v>
      </c>
      <c r="F257" s="14">
        <f>'Fiscal Forecasts'!F$194</f>
        <v>10.432</v>
      </c>
      <c r="G257" s="15">
        <f>'Fiscal Forecasts'!G$194</f>
        <v>10.97</v>
      </c>
      <c r="H257" s="15">
        <f>'Fiscal Forecasts'!H$194</f>
        <v>11.371</v>
      </c>
      <c r="I257" s="15">
        <f>'Fiscal Forecasts'!I$194</f>
        <v>11.407</v>
      </c>
      <c r="J257" s="15">
        <f>'Fiscal Forecasts'!J$194</f>
        <v>11.6</v>
      </c>
      <c r="K257" s="15">
        <f>'Fiscal Forecasts'!K$194</f>
        <v>11.544</v>
      </c>
      <c r="L257" s="6">
        <f ca="1">IF(L$6=OFFSET(Assumptions!$B$8,0,$C$1),AVERAGE(I$257/I$255,J$257/J$255,K$257/K$255),K$257/K$255)*L$255</f>
        <v>11.614160593551723</v>
      </c>
      <c r="M257" s="6">
        <f ca="1">IF(M$6=OFFSET(Assumptions!$B$8,0,$C$1),AVERAGE(J$257/J$255,K$257/K$255,L$257/L$255),L$257/L$255)*M$255</f>
        <v>11.614160593551723</v>
      </c>
      <c r="N257" s="6">
        <f ca="1">IF(N$6=OFFSET(Assumptions!$B$8,0,$C$1),AVERAGE(K$257/K$255,L$257/L$255,M$257/M$255),M$257/M$255)*N$255</f>
        <v>11.614160593551723</v>
      </c>
      <c r="O257" s="6">
        <f ca="1">IF(O$6=OFFSET(Assumptions!$B$8,0,$C$1),AVERAGE(L$257/L$255,M$257/M$255,N$257/N$255),N$257/N$255)*O$255</f>
        <v>11.614160593551723</v>
      </c>
      <c r="P257" s="6">
        <f ca="1">IF(P$6=OFFSET(Assumptions!$B$8,0,$C$1),AVERAGE(M$257/M$255,N$257/N$255,O$257/O$255),O$257/O$255)*P$255</f>
        <v>11.614160593551723</v>
      </c>
      <c r="Q257" s="6">
        <f ca="1">IF(Q$6=OFFSET(Assumptions!$B$8,0,$C$1),AVERAGE(N$257/N$255,O$257/O$255,P$257/P$255),P$257/P$255)*Q$255</f>
        <v>11.614160593551723</v>
      </c>
      <c r="R257" s="6">
        <f ca="1">IF(R$6=OFFSET(Assumptions!$B$8,0,$C$1),AVERAGE(O$257/O$255,P$257/P$255,Q$257/Q$255),Q$257/Q$255)*R$255</f>
        <v>11.614160593551723</v>
      </c>
      <c r="S257" s="6">
        <f ca="1">IF(S$6=OFFSET(Assumptions!$B$8,0,$C$1),AVERAGE(P$257/P$255,Q$257/Q$255,R$257/R$255),R$257/R$255)*S$255</f>
        <v>11.614160593551723</v>
      </c>
      <c r="T257" s="6">
        <f ca="1">IF(T$6=OFFSET(Assumptions!$B$8,0,$C$1),AVERAGE(Q$257/Q$255,R$257/R$255,S$257/S$255),S$257/S$255)*T$255</f>
        <v>11.614160593551723</v>
      </c>
      <c r="U257" s="6">
        <f ca="1">IF(U$6=OFFSET(Assumptions!$B$8,0,$C$1),AVERAGE(R$257/R$255,S$257/S$255,T$257/T$255),T$257/T$255)*U$255</f>
        <v>11.614160593551723</v>
      </c>
    </row>
    <row r="258" spans="1:21" x14ac:dyDescent="0.2">
      <c r="A258" s="1" t="s">
        <v>484</v>
      </c>
      <c r="B258" s="4" t="str">
        <f>$B$37</f>
        <v>From Fiscal</v>
      </c>
      <c r="D258" s="14">
        <f>'Fiscal Forecasts'!D$37-SUM(D$256:D$257)</f>
        <v>-9.1949999999999985</v>
      </c>
      <c r="E258" s="14">
        <f>'Fiscal Forecasts'!E$37-SUM(E$256:E$257)</f>
        <v>-9.5089999999999986</v>
      </c>
      <c r="F258" s="14">
        <f>'Fiscal Forecasts'!F$37-SUM(F$256:F$257)</f>
        <v>-9.6010000000000009</v>
      </c>
      <c r="G258" s="15">
        <f>'Fiscal Forecasts'!G$37-SUM(G$256:G$257)</f>
        <v>-10.160999999999996</v>
      </c>
      <c r="H258" s="15">
        <f>'Fiscal Forecasts'!H$37-SUM(H$256:H$257)</f>
        <v>-10.524999999999999</v>
      </c>
      <c r="I258" s="15">
        <f>'Fiscal Forecasts'!I$37-SUM(I$256:I$257)</f>
        <v>-10.562000000000001</v>
      </c>
      <c r="J258" s="15">
        <f>'Fiscal Forecasts'!J$37-SUM(J$256:J$257)</f>
        <v>-10.754999999999999</v>
      </c>
      <c r="K258" s="15">
        <f>'Fiscal Forecasts'!K$37-SUM(K$256:K$257)</f>
        <v>-10.693999999999999</v>
      </c>
      <c r="L258" s="6">
        <f ca="1">IF(L$6=OFFSET(Assumptions!$B$8,0,$C$1),AVERAGE(I$258/I$255,J$258/J$255,K$258/K$255),K$258/K$255)*L$255</f>
        <v>-10.760308571810707</v>
      </c>
      <c r="M258" s="6">
        <f ca="1">IF(M$6=OFFSET(Assumptions!$B$8,0,$C$1),AVERAGE(J$258/J$255,K$258/K$255,L$258/L$255),L$258/L$255)*M$255</f>
        <v>-10.760308571810707</v>
      </c>
      <c r="N258" s="6">
        <f ca="1">IF(N$6=OFFSET(Assumptions!$B$8,0,$C$1),AVERAGE(K$258/K$255,L$258/L$255,M$258/M$255),M$258/M$255)*N$255</f>
        <v>-10.760308571810707</v>
      </c>
      <c r="O258" s="6">
        <f ca="1">IF(O$6=OFFSET(Assumptions!$B$8,0,$C$1),AVERAGE(L$258/L$255,M$258/M$255,N$258/N$255),N$258/N$255)*O$255</f>
        <v>-10.760308571810707</v>
      </c>
      <c r="P258" s="6">
        <f ca="1">IF(P$6=OFFSET(Assumptions!$B$8,0,$C$1),AVERAGE(M$258/M$255,N$258/N$255,O$258/O$255),O$258/O$255)*P$255</f>
        <v>-10.760308571810707</v>
      </c>
      <c r="Q258" s="6">
        <f ca="1">IF(Q$6=OFFSET(Assumptions!$B$8,0,$C$1),AVERAGE(N$258/N$255,O$258/O$255,P$258/P$255),P$258/P$255)*Q$255</f>
        <v>-10.760308571810707</v>
      </c>
      <c r="R258" s="6">
        <f ca="1">IF(R$6=OFFSET(Assumptions!$B$8,0,$C$1),AVERAGE(O$258/O$255,P$258/P$255,Q$258/Q$255),Q$258/Q$255)*R$255</f>
        <v>-10.760308571810707</v>
      </c>
      <c r="S258" s="6">
        <f ca="1">IF(S$6=OFFSET(Assumptions!$B$8,0,$C$1),AVERAGE(P$258/P$255,Q$258/Q$255,R$258/R$255),R$258/R$255)*S$255</f>
        <v>-10.760308571810707</v>
      </c>
      <c r="T258" s="6">
        <f ca="1">IF(T$6=OFFSET(Assumptions!$B$8,0,$C$1),AVERAGE(Q$258/Q$255,R$258/R$255,S$258/S$255),S$258/S$255)*T$255</f>
        <v>-10.760308571810707</v>
      </c>
      <c r="U258" s="6">
        <f ca="1">IF(U$6=OFFSET(Assumptions!$B$8,0,$C$1),AVERAGE(R$258/R$255,S$258/S$255,T$258/T$255),T$258/T$255)*U$255</f>
        <v>-10.760308571810707</v>
      </c>
    </row>
    <row r="259" spans="1:21" ht="15" x14ac:dyDescent="0.25">
      <c r="A259" s="2" t="s">
        <v>504</v>
      </c>
      <c r="D259" s="34">
        <f t="shared" ref="D259:U259" si="132">SUM(D$256:D$258)</f>
        <v>13.537000000000001</v>
      </c>
      <c r="E259" s="34">
        <f t="shared" si="132"/>
        <v>13.808999999999999</v>
      </c>
      <c r="F259" s="34">
        <f t="shared" si="132"/>
        <v>14.112</v>
      </c>
      <c r="G259" s="33">
        <f t="shared" si="132"/>
        <v>14.746</v>
      </c>
      <c r="H259" s="33">
        <f t="shared" si="132"/>
        <v>15.509</v>
      </c>
      <c r="I259" s="33">
        <f t="shared" si="132"/>
        <v>15.635999999999999</v>
      </c>
      <c r="J259" s="33">
        <f t="shared" si="132"/>
        <v>15.954000000000001</v>
      </c>
      <c r="K259" s="33">
        <f t="shared" si="132"/>
        <v>16.029</v>
      </c>
      <c r="L259" s="37">
        <f t="shared" ca="1" si="132"/>
        <v>16.088525533943329</v>
      </c>
      <c r="M259" s="37">
        <f t="shared" ca="1" si="132"/>
        <v>16.130641173231364</v>
      </c>
      <c r="N259" s="37">
        <f t="shared" ca="1" si="132"/>
        <v>16.172405890467818</v>
      </c>
      <c r="O259" s="37">
        <f t="shared" ca="1" si="132"/>
        <v>16.214461480290819</v>
      </c>
      <c r="P259" s="37">
        <f t="shared" ca="1" si="132"/>
        <v>16.258800794095205</v>
      </c>
      <c r="Q259" s="37">
        <f t="shared" ca="1" si="132"/>
        <v>16.305497728120304</v>
      </c>
      <c r="R259" s="37">
        <f t="shared" ca="1" si="132"/>
        <v>16.351352262563235</v>
      </c>
      <c r="S259" s="37">
        <f t="shared" ca="1" si="132"/>
        <v>16.396596423736923</v>
      </c>
      <c r="T259" s="37">
        <f t="shared" ca="1" si="132"/>
        <v>16.442264096844131</v>
      </c>
      <c r="U259" s="37">
        <f t="shared" ca="1" si="132"/>
        <v>16.487507673407499</v>
      </c>
    </row>
    <row r="260" spans="1:21" ht="15" x14ac:dyDescent="0.25">
      <c r="A260" s="2"/>
      <c r="D260" s="46"/>
      <c r="E260" s="46"/>
      <c r="F260" s="46"/>
      <c r="G260" s="47"/>
      <c r="H260" s="47"/>
      <c r="I260" s="47"/>
      <c r="J260" s="47"/>
      <c r="K260" s="47"/>
      <c r="L260" s="48"/>
      <c r="M260" s="48"/>
      <c r="N260" s="48"/>
      <c r="O260" s="48"/>
      <c r="P260" s="48"/>
      <c r="Q260" s="48"/>
      <c r="R260" s="48"/>
      <c r="S260" s="48"/>
      <c r="T260" s="48"/>
      <c r="U260" s="48"/>
    </row>
    <row r="261" spans="1:21" x14ac:dyDescent="0.2">
      <c r="A261" s="18" t="s">
        <v>505</v>
      </c>
    </row>
    <row r="262" spans="1:21" x14ac:dyDescent="0.2">
      <c r="A262" s="1" t="s">
        <v>1210</v>
      </c>
      <c r="D262" s="14">
        <f>D$368</f>
        <v>0.19800000000000001</v>
      </c>
      <c r="E262" s="14">
        <f t="shared" ref="E262:U262" si="133">E$368</f>
        <v>0.13800000000000001</v>
      </c>
      <c r="F262" s="14">
        <f t="shared" si="133"/>
        <v>0.22700000000000001</v>
      </c>
      <c r="G262" s="15">
        <f t="shared" si="133"/>
        <v>0.24199999999999999</v>
      </c>
      <c r="H262" s="15">
        <f t="shared" si="133"/>
        <v>0.20499999999999999</v>
      </c>
      <c r="I262" s="15">
        <f t="shared" si="133"/>
        <v>0.218</v>
      </c>
      <c r="J262" s="15">
        <f t="shared" si="133"/>
        <v>0.23200000000000001</v>
      </c>
      <c r="K262" s="15">
        <f t="shared" si="133"/>
        <v>0.247</v>
      </c>
      <c r="L262" s="6">
        <f t="shared" ca="1" si="133"/>
        <v>0.23138812936585162</v>
      </c>
      <c r="M262" s="6">
        <f t="shared" ca="1" si="133"/>
        <v>0.26112407725065923</v>
      </c>
      <c r="N262" s="6">
        <f t="shared" ca="1" si="133"/>
        <v>0.29324829735082847</v>
      </c>
      <c r="O262" s="6">
        <f t="shared" ca="1" si="133"/>
        <v>0.32773391993548862</v>
      </c>
      <c r="P262" s="6">
        <f t="shared" ca="1" si="133"/>
        <v>0.36459630408981225</v>
      </c>
      <c r="Q262" s="6">
        <f t="shared" ca="1" si="133"/>
        <v>0.39422324417536198</v>
      </c>
      <c r="R262" s="6">
        <f t="shared" ca="1" si="133"/>
        <v>0.42393488467854329</v>
      </c>
      <c r="S262" s="6">
        <f t="shared" ca="1" si="133"/>
        <v>0.45430663105444047</v>
      </c>
      <c r="T262" s="6">
        <f t="shared" ca="1" si="133"/>
        <v>0.48548345796245113</v>
      </c>
      <c r="U262" s="6">
        <f t="shared" ca="1" si="133"/>
        <v>0.51751012845200928</v>
      </c>
    </row>
    <row r="263" spans="1:21" x14ac:dyDescent="0.2">
      <c r="A263" s="1" t="s">
        <v>296</v>
      </c>
      <c r="B263" s="4"/>
      <c r="D263" s="14">
        <f t="shared" ref="D263:U263" si="134">D$181</f>
        <v>0.51300000000000001</v>
      </c>
      <c r="E263" s="14">
        <f t="shared" si="134"/>
        <v>0.53400000000000003</v>
      </c>
      <c r="F263" s="14">
        <f t="shared" si="134"/>
        <v>0.52</v>
      </c>
      <c r="G263" s="15">
        <f t="shared" si="134"/>
        <v>0.64700000000000002</v>
      </c>
      <c r="H263" s="15">
        <f t="shared" si="134"/>
        <v>0.69299999999999995</v>
      </c>
      <c r="I263" s="15">
        <f t="shared" si="134"/>
        <v>0.73</v>
      </c>
      <c r="J263" s="15">
        <f t="shared" si="134"/>
        <v>0.76400000000000001</v>
      </c>
      <c r="K263" s="15">
        <f t="shared" si="134"/>
        <v>0.79800000000000004</v>
      </c>
      <c r="L263" s="6">
        <f t="shared" ca="1" si="134"/>
        <v>0.73239262588353926</v>
      </c>
      <c r="M263" s="6">
        <f t="shared" ca="1" si="134"/>
        <v>0.76578675141379471</v>
      </c>
      <c r="N263" s="6">
        <f t="shared" ca="1" si="134"/>
        <v>0.79990891436539968</v>
      </c>
      <c r="O263" s="6">
        <f t="shared" ca="1" si="134"/>
        <v>0.8349048070082582</v>
      </c>
      <c r="P263" s="6">
        <f t="shared" ca="1" si="134"/>
        <v>0.87108909066176188</v>
      </c>
      <c r="Q263" s="6">
        <f t="shared" ca="1" si="134"/>
        <v>0.90851940800276665</v>
      </c>
      <c r="R263" s="6">
        <f t="shared" ca="1" si="134"/>
        <v>0.94713135391911396</v>
      </c>
      <c r="S263" s="6">
        <f t="shared" ca="1" si="134"/>
        <v>0.98703992574919575</v>
      </c>
      <c r="T263" s="6">
        <f t="shared" ca="1" si="134"/>
        <v>1.0282814394581155</v>
      </c>
      <c r="U263" s="6">
        <f t="shared" ca="1" si="134"/>
        <v>1.0709805657224649</v>
      </c>
    </row>
    <row r="264" spans="1:21" x14ac:dyDescent="0.2">
      <c r="A264" s="1" t="s">
        <v>512</v>
      </c>
      <c r="B264" s="4" t="s">
        <v>513</v>
      </c>
      <c r="D264" s="14">
        <f>Exogenous!K$38</f>
        <v>0.873</v>
      </c>
      <c r="E264" s="14">
        <f>Exogenous!L$38</f>
        <v>0.68</v>
      </c>
      <c r="F264" s="14">
        <f>Exogenous!M$38</f>
        <v>0.49299999999999999</v>
      </c>
      <c r="G264" s="15">
        <f>Exogenous!N$38</f>
        <v>0.64</v>
      </c>
      <c r="H264" s="15">
        <f>Exogenous!O$38</f>
        <v>0.68</v>
      </c>
      <c r="I264" s="15">
        <f>Exogenous!P$38</f>
        <v>0.68</v>
      </c>
      <c r="J264" s="15">
        <f>Exogenous!Q$38</f>
        <v>0.68</v>
      </c>
      <c r="K264" s="15">
        <f>Exogenous!R$38</f>
        <v>0.68</v>
      </c>
      <c r="L264" s="6">
        <f t="shared" ref="L264:U264" ca="1" si="135">K$264*L$132/K$132</f>
        <v>0.70932089021863398</v>
      </c>
      <c r="M264" s="6">
        <f t="shared" ca="1" si="135"/>
        <v>0.74414754106359793</v>
      </c>
      <c r="N264" s="6">
        <f t="shared" ca="1" si="135"/>
        <v>0.77730549738672527</v>
      </c>
      <c r="O264" s="6">
        <f t="shared" ca="1" si="135"/>
        <v>0.81131249399437089</v>
      </c>
      <c r="P264" s="6">
        <f t="shared" ca="1" si="135"/>
        <v>0.84647430066730034</v>
      </c>
      <c r="Q264" s="6">
        <f t="shared" ca="1" si="135"/>
        <v>0.88284693124508906</v>
      </c>
      <c r="R264" s="6">
        <f t="shared" ca="1" si="135"/>
        <v>0.92036780054229705</v>
      </c>
      <c r="S264" s="6">
        <f t="shared" ca="1" si="135"/>
        <v>0.95914865636134483</v>
      </c>
      <c r="T264" s="6">
        <f t="shared" ca="1" si="135"/>
        <v>0.99922478846936802</v>
      </c>
      <c r="U264" s="6">
        <f t="shared" ca="1" si="135"/>
        <v>1.040717344662744</v>
      </c>
    </row>
    <row r="265" spans="1:21" x14ac:dyDescent="0.2">
      <c r="A265" s="1" t="s">
        <v>516</v>
      </c>
      <c r="B265" s="4" t="str">
        <f>$B$37</f>
        <v>From Fiscal</v>
      </c>
      <c r="D265" s="14">
        <f>'Fiscal Forecasts'!D$55-SUM(D$262:D$264)</f>
        <v>2.5500000000000003</v>
      </c>
      <c r="E265" s="14">
        <f>'Fiscal Forecasts'!E$55-SUM(E$262:E$264)</f>
        <v>2.75</v>
      </c>
      <c r="F265" s="14">
        <f>'Fiscal Forecasts'!F$55-SUM(F$262:F$264)</f>
        <v>2.7169999999999996</v>
      </c>
      <c r="G265" s="15">
        <f>'Fiscal Forecasts'!G$55-SUM(G$262:G$264)</f>
        <v>3.5570000000000004</v>
      </c>
      <c r="H265" s="15">
        <f>'Fiscal Forecasts'!H$55-SUM(H$262:H$264)</f>
        <v>3.4680000000000004</v>
      </c>
      <c r="I265" s="15">
        <f>'Fiscal Forecasts'!I$55-SUM(I$262:I$264)</f>
        <v>3.1070000000000002</v>
      </c>
      <c r="J265" s="15">
        <f>'Fiscal Forecasts'!J$55-SUM(J$262:J$264)</f>
        <v>3.1550000000000002</v>
      </c>
      <c r="K265" s="15">
        <f>'Fiscal Forecasts'!K$55-SUM(K$262:K$264)</f>
        <v>2.9410000000000003</v>
      </c>
      <c r="L265" s="6">
        <f>K$265</f>
        <v>2.9410000000000003</v>
      </c>
      <c r="M265" s="6">
        <f t="shared" ref="M265:U265" si="136">L$265</f>
        <v>2.9410000000000003</v>
      </c>
      <c r="N265" s="6">
        <f t="shared" si="136"/>
        <v>2.9410000000000003</v>
      </c>
      <c r="O265" s="6">
        <f t="shared" si="136"/>
        <v>2.9410000000000003</v>
      </c>
      <c r="P265" s="6">
        <f t="shared" si="136"/>
        <v>2.9410000000000003</v>
      </c>
      <c r="Q265" s="6">
        <f t="shared" si="136"/>
        <v>2.9410000000000003</v>
      </c>
      <c r="R265" s="6">
        <f t="shared" si="136"/>
        <v>2.9410000000000003</v>
      </c>
      <c r="S265" s="6">
        <f t="shared" si="136"/>
        <v>2.9410000000000003</v>
      </c>
      <c r="T265" s="6">
        <f t="shared" si="136"/>
        <v>2.9410000000000003</v>
      </c>
      <c r="U265" s="6">
        <f t="shared" si="136"/>
        <v>2.9410000000000003</v>
      </c>
    </row>
    <row r="266" spans="1:21" ht="15" x14ac:dyDescent="0.25">
      <c r="A266" s="2" t="s">
        <v>517</v>
      </c>
      <c r="D266" s="34">
        <f>SUM(D$262:D$265)</f>
        <v>4.1340000000000003</v>
      </c>
      <c r="E266" s="34">
        <f>SUM(E$262:E$265)</f>
        <v>4.1020000000000003</v>
      </c>
      <c r="F266" s="34">
        <f>SUM(F$262:F$265)</f>
        <v>3.9569999999999999</v>
      </c>
      <c r="G266" s="33">
        <f t="shared" ref="G266:U266" si="137">SUM(G$262:G$265)</f>
        <v>5.0860000000000003</v>
      </c>
      <c r="H266" s="33">
        <f t="shared" si="137"/>
        <v>5.0460000000000003</v>
      </c>
      <c r="I266" s="33">
        <f t="shared" si="137"/>
        <v>4.7350000000000003</v>
      </c>
      <c r="J266" s="33">
        <f t="shared" si="137"/>
        <v>4.8310000000000004</v>
      </c>
      <c r="K266" s="33">
        <f t="shared" si="137"/>
        <v>4.6660000000000004</v>
      </c>
      <c r="L266" s="37">
        <f t="shared" ca="1" si="137"/>
        <v>4.6141016454680255</v>
      </c>
      <c r="M266" s="37">
        <f t="shared" ca="1" si="137"/>
        <v>4.7120583697280516</v>
      </c>
      <c r="N266" s="37">
        <f t="shared" ca="1" si="137"/>
        <v>4.8114627091029538</v>
      </c>
      <c r="O266" s="37">
        <f t="shared" ca="1" si="137"/>
        <v>4.9149512209381179</v>
      </c>
      <c r="P266" s="37">
        <f t="shared" ca="1" si="137"/>
        <v>5.0231596954188742</v>
      </c>
      <c r="Q266" s="37">
        <f t="shared" ca="1" si="137"/>
        <v>5.1265895834232182</v>
      </c>
      <c r="R266" s="37">
        <f t="shared" ca="1" si="137"/>
        <v>5.2324340391399549</v>
      </c>
      <c r="S266" s="37">
        <f t="shared" ca="1" si="137"/>
        <v>5.3414952131649809</v>
      </c>
      <c r="T266" s="37">
        <f t="shared" ca="1" si="137"/>
        <v>5.453989685889935</v>
      </c>
      <c r="U266" s="37">
        <f t="shared" ca="1" si="137"/>
        <v>5.5702080388372188</v>
      </c>
    </row>
    <row r="267" spans="1:21" ht="15" x14ac:dyDescent="0.25">
      <c r="A267" s="2" t="s">
        <v>518</v>
      </c>
      <c r="B267" s="4" t="str">
        <f>$B$37</f>
        <v>From Fiscal</v>
      </c>
      <c r="D267" s="39">
        <f>'Fiscal Forecasts'!D$38</f>
        <v>3.8980000000000001</v>
      </c>
      <c r="E267" s="39">
        <f>'Fiscal Forecasts'!E$38</f>
        <v>3.95</v>
      </c>
      <c r="F267" s="39">
        <f>'Fiscal Forecasts'!F$38</f>
        <v>3.762</v>
      </c>
      <c r="G267" s="38">
        <f>'Fiscal Forecasts'!G$38</f>
        <v>4.9349999999999996</v>
      </c>
      <c r="H267" s="38">
        <f>'Fiscal Forecasts'!H$38</f>
        <v>4.7549999999999999</v>
      </c>
      <c r="I267" s="38">
        <f>'Fiscal Forecasts'!I$38</f>
        <v>4.5650000000000004</v>
      </c>
      <c r="J267" s="38">
        <f>'Fiscal Forecasts'!J$38</f>
        <v>4.6479999999999997</v>
      </c>
      <c r="K267" s="38">
        <f>'Fiscal Forecasts'!K$38</f>
        <v>4.3959999999999999</v>
      </c>
      <c r="L267" s="7">
        <f ca="1">L$266+IF(L$6=OFFSET(Assumptions!$B$8,0,$C$1),AVERAGE((I$267-I$266)/I$265,(J$267-J$266)/J$265,(K$267-K$266)/K$265),(K$267-K$266)/K$265)*L$265</f>
        <v>4.4136001103797469</v>
      </c>
      <c r="M267" s="7">
        <f ca="1">M$266+IF(M$6=OFFSET(Assumptions!$B$8,0,$C$1),AVERAGE((J$267-J$266)/J$265,(K$267-K$266)/K$265,(L$267-L$266)/L$265),(L$267-L$266)/L$265)*M$265</f>
        <v>4.511556834639773</v>
      </c>
      <c r="N267" s="7">
        <f ca="1">N$266+IF(N$6=OFFSET(Assumptions!$B$8,0,$C$1),AVERAGE((K$267-K$266)/K$265,(L$267-L$266)/L$265,(M$267-M$266)/M$265),(M$267-M$266)/M$265)*N$265</f>
        <v>4.6109611740146752</v>
      </c>
      <c r="O267" s="7">
        <f ca="1">O$266+IF(O$6=OFFSET(Assumptions!$B$8,0,$C$1),AVERAGE((L$267-L$266)/L$265,(M$267-M$266)/M$265,(N$267-N$266)/N$265),(N$267-N$266)/N$265)*O$265</f>
        <v>4.7144496858498393</v>
      </c>
      <c r="P267" s="7">
        <f ca="1">P$266+IF(P$6=OFFSET(Assumptions!$B$8,0,$C$1),AVERAGE((M$267-M$266)/M$265,(N$267-N$266)/N$265,(O$267-O$266)/O$265),(O$267-O$266)/O$265)*P$265</f>
        <v>4.8226581603305956</v>
      </c>
      <c r="Q267" s="7">
        <f ca="1">Q$266+IF(Q$6=OFFSET(Assumptions!$B$8,0,$C$1),AVERAGE((N$267-N$266)/N$265,(O$267-O$266)/O$265,(P$267-P$266)/P$265),(P$267-P$266)/P$265)*Q$265</f>
        <v>4.9260880483349396</v>
      </c>
      <c r="R267" s="7">
        <f ca="1">R$266+IF(R$6=OFFSET(Assumptions!$B$8,0,$C$1),AVERAGE((O$267-O$266)/O$265,(P$267-P$266)/P$265,(Q$267-Q$266)/Q$265),(Q$267-Q$266)/Q$265)*R$265</f>
        <v>5.0319325040516762</v>
      </c>
      <c r="S267" s="7">
        <f ca="1">S$266+IF(S$6=OFFSET(Assumptions!$B$8,0,$C$1),AVERAGE((P$267-P$266)/P$265,(Q$267-Q$266)/Q$265,(R$267-R$266)/R$265),(R$267-R$266)/R$265)*S$265</f>
        <v>5.1409936780767023</v>
      </c>
      <c r="T267" s="7">
        <f ca="1">T$266+IF(T$6=OFFSET(Assumptions!$B$8,0,$C$1),AVERAGE((Q$267-Q$266)/Q$265,(R$267-R$266)/R$265,(S$267-S$266)/S$265),(S$267-S$266)/S$265)*T$265</f>
        <v>5.2534881508016564</v>
      </c>
      <c r="U267" s="7">
        <f ca="1">U$266+IF(U$6=OFFSET(Assumptions!$B$8,0,$C$1),AVERAGE((R$267-R$266)/R$265,(S$267-S$266)/S$265,(T$267-T$266)/T$265),(T$267-T$266)/T$265)*U$265</f>
        <v>5.3697065037489402</v>
      </c>
    </row>
    <row r="268" spans="1:21" ht="15" x14ac:dyDescent="0.25">
      <c r="A268" s="2"/>
      <c r="B268" s="4"/>
      <c r="D268" s="39"/>
      <c r="E268" s="39"/>
      <c r="F268" s="39"/>
      <c r="G268" s="38"/>
      <c r="H268" s="38"/>
      <c r="I268" s="38"/>
      <c r="J268" s="38"/>
      <c r="K268" s="38"/>
      <c r="L268" s="38"/>
      <c r="M268" s="7"/>
      <c r="N268" s="7"/>
      <c r="O268" s="7"/>
      <c r="P268" s="7"/>
      <c r="Q268" s="7"/>
      <c r="R268" s="7"/>
      <c r="S268" s="7"/>
      <c r="T268" s="7"/>
      <c r="U268" s="7"/>
    </row>
    <row r="269" spans="1:21" ht="15" x14ac:dyDescent="0.25">
      <c r="A269" s="18" t="s">
        <v>575</v>
      </c>
      <c r="B269" s="4"/>
      <c r="C269" s="7"/>
      <c r="D269" s="7"/>
      <c r="E269" s="7"/>
      <c r="F269" s="7"/>
      <c r="G269" s="7"/>
      <c r="H269" s="7"/>
      <c r="I269" s="7"/>
      <c r="J269" s="7"/>
      <c r="K269" s="7"/>
      <c r="L269" s="7"/>
      <c r="M269" s="7"/>
      <c r="N269" s="7"/>
      <c r="O269" s="7"/>
      <c r="P269" s="7"/>
      <c r="Q269" s="7"/>
      <c r="R269" s="7"/>
      <c r="S269" s="7"/>
      <c r="T269" s="7"/>
      <c r="U269" s="7"/>
    </row>
    <row r="270" spans="1:21" ht="15" x14ac:dyDescent="0.25">
      <c r="A270" s="2" t="s">
        <v>519</v>
      </c>
      <c r="B270" s="4" t="str">
        <f t="shared" ref="B270:B275" si="138">$B$37</f>
        <v>From Fiscal</v>
      </c>
      <c r="D270" s="39">
        <f>'Fiscal Forecasts'!D$56</f>
        <v>3.5150000000000001</v>
      </c>
      <c r="E270" s="39">
        <f>'Fiscal Forecasts'!E$56</f>
        <v>3.6480000000000001</v>
      </c>
      <c r="F270" s="39">
        <f>'Fiscal Forecasts'!F$56</f>
        <v>3.8820000000000001</v>
      </c>
      <c r="G270" s="38">
        <f>'Fiscal Forecasts'!G$56</f>
        <v>4.2759999999999998</v>
      </c>
      <c r="H270" s="38">
        <f>'Fiscal Forecasts'!H$56</f>
        <v>4.4189999999999996</v>
      </c>
      <c r="I270" s="38">
        <f>'Fiscal Forecasts'!I$56</f>
        <v>4.4530000000000003</v>
      </c>
      <c r="J270" s="38">
        <f>'Fiscal Forecasts'!J$56</f>
        <v>4.516</v>
      </c>
      <c r="K270" s="38">
        <f>'Fiscal Forecasts'!K$56</f>
        <v>4.569</v>
      </c>
      <c r="L270" s="7">
        <f>K$270</f>
        <v>4.569</v>
      </c>
      <c r="M270" s="7">
        <f t="shared" ref="M270:U270" si="139">L$270</f>
        <v>4.569</v>
      </c>
      <c r="N270" s="7">
        <f t="shared" si="139"/>
        <v>4.569</v>
      </c>
      <c r="O270" s="7">
        <f t="shared" si="139"/>
        <v>4.569</v>
      </c>
      <c r="P270" s="7">
        <f t="shared" si="139"/>
        <v>4.569</v>
      </c>
      <c r="Q270" s="7">
        <f t="shared" si="139"/>
        <v>4.569</v>
      </c>
      <c r="R270" s="7">
        <f t="shared" si="139"/>
        <v>4.569</v>
      </c>
      <c r="S270" s="7">
        <f t="shared" si="139"/>
        <v>4.569</v>
      </c>
      <c r="T270" s="7">
        <f t="shared" si="139"/>
        <v>4.569</v>
      </c>
      <c r="U270" s="7">
        <f t="shared" si="139"/>
        <v>4.569</v>
      </c>
    </row>
    <row r="271" spans="1:21" ht="15" x14ac:dyDescent="0.25">
      <c r="A271" s="2" t="s">
        <v>520</v>
      </c>
      <c r="B271" s="4" t="str">
        <f t="shared" si="138"/>
        <v>From Fiscal</v>
      </c>
      <c r="D271" s="39">
        <f>'Fiscal Forecasts'!D$39</f>
        <v>3.73</v>
      </c>
      <c r="E271" s="39">
        <f>'Fiscal Forecasts'!E$39</f>
        <v>3.8940000000000001</v>
      </c>
      <c r="F271" s="39">
        <f>'Fiscal Forecasts'!F$39</f>
        <v>4.1609999999999996</v>
      </c>
      <c r="G271" s="38">
        <f>'Fiscal Forecasts'!G$39</f>
        <v>4.6020000000000003</v>
      </c>
      <c r="H271" s="38">
        <f>'Fiscal Forecasts'!H$39</f>
        <v>4.8159999999999998</v>
      </c>
      <c r="I271" s="38">
        <f>'Fiscal Forecasts'!I$39</f>
        <v>4.8730000000000002</v>
      </c>
      <c r="J271" s="38">
        <f>'Fiscal Forecasts'!J$39</f>
        <v>4.9489999999999998</v>
      </c>
      <c r="K271" s="38">
        <f>'Fiscal Forecasts'!K$39</f>
        <v>5.0199999999999996</v>
      </c>
      <c r="L271" s="7">
        <f ca="1">IF(L$6=OFFSET(Assumptions!$B$8,0,$C$1),AVERAGE(I$271/I$270,J$271/J$270,K$271/K$270),K$271/K$270)*L$270</f>
        <v>5.0090075493901427</v>
      </c>
      <c r="M271" s="7">
        <f ca="1">IF(M$6=OFFSET(Assumptions!$B$8,0,$C$1),AVERAGE(J$271/J$270,K$271/K$270,L$271/L$270),L$271/L$270)*M$270</f>
        <v>5.0090075493901427</v>
      </c>
      <c r="N271" s="7">
        <f ca="1">IF(N$6=OFFSET(Assumptions!$B$8,0,$C$1),AVERAGE(K$271/K$270,L$271/L$270,M$271/M$270),M$271/M$270)*N$270</f>
        <v>5.0090075493901427</v>
      </c>
      <c r="O271" s="7">
        <f ca="1">IF(O$6=OFFSET(Assumptions!$B$8,0,$C$1),AVERAGE(L$271/L$270,M$271/M$270,N$271/N$270),N$271/N$270)*O$270</f>
        <v>5.0090075493901427</v>
      </c>
      <c r="P271" s="7">
        <f ca="1">IF(P$6=OFFSET(Assumptions!$B$8,0,$C$1),AVERAGE(M$271/M$270,N$271/N$270,O$271/O$270),O$271/O$270)*P$270</f>
        <v>5.0090075493901427</v>
      </c>
      <c r="Q271" s="7">
        <f ca="1">IF(Q$6=OFFSET(Assumptions!$B$8,0,$C$1),AVERAGE(N$271/N$270,O$271/O$270,P$271/P$270),P$271/P$270)*Q$270</f>
        <v>5.0090075493901427</v>
      </c>
      <c r="R271" s="7">
        <f ca="1">IF(R$6=OFFSET(Assumptions!$B$8,0,$C$1),AVERAGE(O$271/O$270,P$271/P$270,Q$271/Q$270),Q$271/Q$270)*R$270</f>
        <v>5.0090075493901427</v>
      </c>
      <c r="S271" s="7">
        <f ca="1">IF(S$6=OFFSET(Assumptions!$B$8,0,$C$1),AVERAGE(P$271/P$270,Q$271/Q$270,R$271/R$270),R$271/R$270)*S$270</f>
        <v>5.0090075493901427</v>
      </c>
      <c r="T271" s="7">
        <f ca="1">IF(T$6=OFFSET(Assumptions!$B$8,0,$C$1),AVERAGE(Q$271/Q$270,R$271/R$270,S$271/S$270),S$271/S$270)*T$270</f>
        <v>5.0090075493901427</v>
      </c>
      <c r="U271" s="7">
        <f ca="1">IF(U$6=OFFSET(Assumptions!$B$8,0,$C$1),AVERAGE(R$271/R$270,S$271/S$270,T$271/T$270),T$271/T$270)*U$270</f>
        <v>5.0090075493901427</v>
      </c>
    </row>
    <row r="272" spans="1:21" ht="15" x14ac:dyDescent="0.25">
      <c r="A272" s="2"/>
      <c r="B272" s="4"/>
      <c r="D272" s="39"/>
      <c r="E272" s="39"/>
      <c r="F272" s="39"/>
      <c r="G272" s="38"/>
      <c r="H272" s="38"/>
      <c r="I272" s="38"/>
      <c r="J272" s="38"/>
      <c r="K272" s="38"/>
      <c r="L272" s="7"/>
      <c r="M272" s="7"/>
      <c r="N272" s="7"/>
      <c r="O272" s="7"/>
      <c r="P272" s="7"/>
      <c r="Q272" s="7"/>
      <c r="R272" s="7"/>
      <c r="S272" s="7"/>
      <c r="T272" s="7"/>
      <c r="U272" s="7"/>
    </row>
    <row r="273" spans="1:21" ht="15" x14ac:dyDescent="0.25">
      <c r="A273" s="18" t="s">
        <v>576</v>
      </c>
      <c r="B273" s="4"/>
      <c r="D273" s="39"/>
      <c r="E273" s="39"/>
      <c r="F273" s="39"/>
      <c r="G273" s="39"/>
      <c r="H273" s="39"/>
      <c r="I273" s="39"/>
      <c r="J273" s="39"/>
      <c r="K273" s="39"/>
      <c r="L273" s="7"/>
      <c r="M273" s="7"/>
      <c r="N273" s="7"/>
      <c r="O273" s="7"/>
      <c r="P273" s="7"/>
      <c r="Q273" s="7"/>
      <c r="R273" s="7"/>
      <c r="S273" s="7"/>
      <c r="T273" s="7"/>
      <c r="U273" s="7"/>
    </row>
    <row r="274" spans="1:21" ht="15" x14ac:dyDescent="0.25">
      <c r="A274" s="2" t="s">
        <v>521</v>
      </c>
      <c r="B274" s="4" t="str">
        <f t="shared" si="138"/>
        <v>From Fiscal</v>
      </c>
      <c r="D274" s="39">
        <f>'Fiscal Forecasts'!D$59</f>
        <v>1.9610000000000001</v>
      </c>
      <c r="E274" s="39">
        <f>'Fiscal Forecasts'!E$59</f>
        <v>2.0259999999999998</v>
      </c>
      <c r="F274" s="39">
        <f>'Fiscal Forecasts'!F$59</f>
        <v>2.1459999999999999</v>
      </c>
      <c r="G274" s="38">
        <f>'Fiscal Forecasts'!G$59</f>
        <v>2.2629999999999999</v>
      </c>
      <c r="H274" s="38">
        <f>'Fiscal Forecasts'!H$59</f>
        <v>2.3740000000000001</v>
      </c>
      <c r="I274" s="38">
        <f>'Fiscal Forecasts'!I$59</f>
        <v>2.4510000000000001</v>
      </c>
      <c r="J274" s="38">
        <f>'Fiscal Forecasts'!J$59</f>
        <v>2.4609999999999999</v>
      </c>
      <c r="K274" s="38">
        <f>'Fiscal Forecasts'!K$59</f>
        <v>2.4670000000000001</v>
      </c>
      <c r="L274" s="7">
        <f>K$274</f>
        <v>2.4670000000000001</v>
      </c>
      <c r="M274" s="7">
        <f t="shared" ref="M274:U274" si="140">L$274</f>
        <v>2.4670000000000001</v>
      </c>
      <c r="N274" s="7">
        <f t="shared" si="140"/>
        <v>2.4670000000000001</v>
      </c>
      <c r="O274" s="7">
        <f t="shared" si="140"/>
        <v>2.4670000000000001</v>
      </c>
      <c r="P274" s="7">
        <f t="shared" si="140"/>
        <v>2.4670000000000001</v>
      </c>
      <c r="Q274" s="7">
        <f t="shared" si="140"/>
        <v>2.4670000000000001</v>
      </c>
      <c r="R274" s="7">
        <f t="shared" si="140"/>
        <v>2.4670000000000001</v>
      </c>
      <c r="S274" s="7">
        <f t="shared" si="140"/>
        <v>2.4670000000000001</v>
      </c>
      <c r="T274" s="7">
        <f t="shared" si="140"/>
        <v>2.4670000000000001</v>
      </c>
      <c r="U274" s="7">
        <f t="shared" si="140"/>
        <v>2.4670000000000001</v>
      </c>
    </row>
    <row r="275" spans="1:21" ht="15" x14ac:dyDescent="0.25">
      <c r="A275" s="2" t="s">
        <v>522</v>
      </c>
      <c r="B275" s="4" t="str">
        <f t="shared" si="138"/>
        <v>From Fiscal</v>
      </c>
      <c r="D275" s="39">
        <f>'Fiscal Forecasts'!D$42</f>
        <v>1.917</v>
      </c>
      <c r="E275" s="39">
        <f>'Fiscal Forecasts'!E$42</f>
        <v>2.0129999999999999</v>
      </c>
      <c r="F275" s="39">
        <f>'Fiscal Forecasts'!F$42</f>
        <v>2.145</v>
      </c>
      <c r="G275" s="38">
        <f>'Fiscal Forecasts'!G$42</f>
        <v>2.2549999999999999</v>
      </c>
      <c r="H275" s="38">
        <f>'Fiscal Forecasts'!H$42</f>
        <v>2.3660000000000001</v>
      </c>
      <c r="I275" s="38">
        <f>'Fiscal Forecasts'!I$42</f>
        <v>2.4430000000000001</v>
      </c>
      <c r="J275" s="38">
        <f>'Fiscal Forecasts'!J$42</f>
        <v>2.4529999999999998</v>
      </c>
      <c r="K275" s="38">
        <f>'Fiscal Forecasts'!K$42</f>
        <v>2.4590000000000001</v>
      </c>
      <c r="L275" s="7">
        <f ca="1">IF(L$6=OFFSET(Assumptions!$B$8,0,$C$1),AVERAGE(I$275/I$274,J$275/J$274,K$275/K$274),K$275/K$274)*L$274</f>
        <v>2.4589760907170768</v>
      </c>
      <c r="M275" s="7">
        <f ca="1">IF(M$6=OFFSET(Assumptions!$B$8,0,$C$1),AVERAGE(J$275/J$274,K$275/K$274,L$275/L$274),L$275/L$274)*M$274</f>
        <v>2.4589760907170768</v>
      </c>
      <c r="N275" s="7">
        <f ca="1">IF(N$6=OFFSET(Assumptions!$B$8,0,$C$1),AVERAGE(K$275/K$274,L$275/L$274,M$275/M$274),M$275/M$274)*N$274</f>
        <v>2.4589760907170768</v>
      </c>
      <c r="O275" s="7">
        <f ca="1">IF(O$6=OFFSET(Assumptions!$B$8,0,$C$1),AVERAGE(L$275/L$274,M$275/M$274,N$275/N$274),N$275/N$274)*O$274</f>
        <v>2.4589760907170768</v>
      </c>
      <c r="P275" s="7">
        <f ca="1">IF(P$6=OFFSET(Assumptions!$B$8,0,$C$1),AVERAGE(M$275/M$274,N$275/N$274,O$275/O$274),O$275/O$274)*P$274</f>
        <v>2.4589760907170768</v>
      </c>
      <c r="Q275" s="7">
        <f ca="1">IF(Q$6=OFFSET(Assumptions!$B$8,0,$C$1),AVERAGE(N$275/N$274,O$275/O$274,P$275/P$274),P$275/P$274)*Q$274</f>
        <v>2.4589760907170768</v>
      </c>
      <c r="R275" s="7">
        <f ca="1">IF(R$6=OFFSET(Assumptions!$B$8,0,$C$1),AVERAGE(O$275/O$274,P$275/P$274,Q$275/Q$274),Q$275/Q$274)*R$274</f>
        <v>2.4589760907170768</v>
      </c>
      <c r="S275" s="7">
        <f ca="1">IF(S$6=OFFSET(Assumptions!$B$8,0,$C$1),AVERAGE(P$275/P$274,Q$275/Q$274,R$275/R$274),R$275/R$274)*S$274</f>
        <v>2.4589760907170768</v>
      </c>
      <c r="T275" s="7">
        <f ca="1">IF(T$6=OFFSET(Assumptions!$B$8,0,$C$1),AVERAGE(Q$275/Q$274,R$275/R$274,S$275/S$274),S$275/S$274)*T$274</f>
        <v>2.4589760907170768</v>
      </c>
      <c r="U275" s="7">
        <f ca="1">IF(U$6=OFFSET(Assumptions!$B$8,0,$C$1),AVERAGE(R$275/R$274,S$275/S$274,T$275/T$274),T$275/T$274)*U$274</f>
        <v>2.4589760907170768</v>
      </c>
    </row>
    <row r="276" spans="1:21" ht="15" x14ac:dyDescent="0.25">
      <c r="A276" s="2"/>
      <c r="B276" s="4"/>
      <c r="D276" s="39"/>
      <c r="E276" s="39"/>
      <c r="F276" s="39"/>
      <c r="G276" s="38"/>
      <c r="H276" s="38"/>
      <c r="I276" s="38"/>
      <c r="J276" s="38"/>
      <c r="K276" s="38"/>
      <c r="L276" s="7"/>
      <c r="M276" s="7"/>
      <c r="N276" s="7"/>
      <c r="O276" s="7"/>
      <c r="P276" s="7"/>
      <c r="Q276" s="7"/>
      <c r="R276" s="7"/>
      <c r="S276" s="7"/>
      <c r="T276" s="7"/>
      <c r="U276" s="7"/>
    </row>
    <row r="277" spans="1:21" ht="15" x14ac:dyDescent="0.25">
      <c r="A277" s="18" t="s">
        <v>523</v>
      </c>
      <c r="B277" s="4"/>
      <c r="D277" s="7"/>
      <c r="E277" s="7"/>
      <c r="F277" s="7"/>
      <c r="G277" s="7"/>
      <c r="H277" s="7"/>
      <c r="I277" s="7"/>
      <c r="J277" s="7"/>
      <c r="K277" s="7"/>
      <c r="L277" s="7"/>
      <c r="M277" s="7"/>
      <c r="N277" s="7"/>
      <c r="O277" s="7"/>
      <c r="P277" s="7"/>
      <c r="Q277" s="7"/>
      <c r="R277" s="7"/>
      <c r="S277" s="7"/>
      <c r="T277" s="7"/>
      <c r="U277" s="7"/>
    </row>
    <row r="278" spans="1:21" x14ac:dyDescent="0.2">
      <c r="A278" s="1" t="s">
        <v>298</v>
      </c>
      <c r="B278" s="4" t="str">
        <f t="shared" ref="B278:B281" si="141">$B$37</f>
        <v>From Fiscal</v>
      </c>
      <c r="D278" s="14">
        <f>'Fiscal Forecasts'!D$57</f>
        <v>2.2909999999999999</v>
      </c>
      <c r="E278" s="14">
        <f>'Fiscal Forecasts'!E$57</f>
        <v>2.1779999999999999</v>
      </c>
      <c r="F278" s="14">
        <f>'Fiscal Forecasts'!F$57</f>
        <v>2.1760000000000002</v>
      </c>
      <c r="G278" s="15">
        <f>'Fiscal Forecasts'!G$57</f>
        <v>2.452</v>
      </c>
      <c r="H278" s="15">
        <f>'Fiscal Forecasts'!H$57</f>
        <v>2.6219999999999999</v>
      </c>
      <c r="I278" s="15">
        <f>'Fiscal Forecasts'!I$57</f>
        <v>2.52</v>
      </c>
      <c r="J278" s="15">
        <f>'Fiscal Forecasts'!J$57</f>
        <v>2.883</v>
      </c>
      <c r="K278" s="15">
        <f>'Fiscal Forecasts'!K$57</f>
        <v>2.5939999999999999</v>
      </c>
      <c r="L278" s="6">
        <f ca="1">IF(L$6=OFFSET(Assumptions!$B$8,0,$C$1),AVERAGE(I$278/I$128,J$278/J$128,K$278/K$128),K$278/K$128)*L$128</f>
        <v>3.0921988246058731</v>
      </c>
      <c r="M278" s="6">
        <f ca="1">IF(M$6=OFFSET(Assumptions!$B$8,0,$C$1),AVERAGE(J$278/J$128,K$278/K$128,L$278/L$128),L$278/L$128)*M$128</f>
        <v>3.4866017352831951</v>
      </c>
      <c r="N278" s="6">
        <f ca="1">IF(N$6=OFFSET(Assumptions!$B$8,0,$C$1),AVERAGE(K$278/K$128,L$278/L$128,M$278/M$128),M$278/M$128)*N$128</f>
        <v>3.6419588139203469</v>
      </c>
      <c r="O278" s="6">
        <f ca="1">IF(O$6=OFFSET(Assumptions!$B$8,0,$C$1),AVERAGE(L$278/L$128,M$278/M$128,N$278/N$128),N$278/N$128)*O$128</f>
        <v>3.8012939549254736</v>
      </c>
      <c r="P278" s="6">
        <f ca="1">IF(P$6=OFFSET(Assumptions!$B$8,0,$C$1),AVERAGE(M$278/M$128,N$278/N$128,O$278/O$128),O$278/O$128)*P$128</f>
        <v>3.9660398008719699</v>
      </c>
      <c r="Q278" s="6">
        <f ca="1">IF(Q$6=OFFSET(Assumptions!$B$8,0,$C$1),AVERAGE(N$278/N$128,O$278/O$128,P$278/P$128),P$278/P$128)*Q$128</f>
        <v>4.1364587969598636</v>
      </c>
      <c r="R278" s="6">
        <f ca="1">IF(R$6=OFFSET(Assumptions!$B$8,0,$C$1),AVERAGE(O$278/O$128,P$278/P$128,Q$278/Q$128),Q$278/Q$128)*R$128</f>
        <v>4.3122577088449985</v>
      </c>
      <c r="S278" s="6">
        <f ca="1">IF(S$6=OFFSET(Assumptions!$B$8,0,$C$1),AVERAGE(P$278/P$128,Q$278/Q$128,R$278/R$128),R$278/R$128)*S$128</f>
        <v>4.4939601156032083</v>
      </c>
      <c r="T278" s="6">
        <f ca="1">IF(T$6=OFFSET(Assumptions!$B$8,0,$C$1),AVERAGE(Q$278/Q$128,R$278/R$128,S$278/S$128),S$278/S$128)*T$128</f>
        <v>4.681731362621723</v>
      </c>
      <c r="U278" s="6">
        <f ca="1">IF(U$6=OFFSET(Assumptions!$B$8,0,$C$1),AVERAGE(R$278/R$128,S$278/S$128,T$278/T$128),T$278/T$128)*U$128</f>
        <v>4.8761390713650572</v>
      </c>
    </row>
    <row r="279" spans="1:21" x14ac:dyDescent="0.2">
      <c r="A279" s="1" t="s">
        <v>272</v>
      </c>
      <c r="B279" s="4" t="str">
        <f t="shared" si="141"/>
        <v>From Fiscal</v>
      </c>
      <c r="D279" s="14">
        <f>'Fiscal Forecasts'!D$195</f>
        <v>2.5640000000000001</v>
      </c>
      <c r="E279" s="14">
        <f>'Fiscal Forecasts'!E$195</f>
        <v>2.6579999999999999</v>
      </c>
      <c r="F279" s="14">
        <f>'Fiscal Forecasts'!F$195</f>
        <v>2.625</v>
      </c>
      <c r="G279" s="15">
        <f>'Fiscal Forecasts'!G$195</f>
        <v>2.8010000000000002</v>
      </c>
      <c r="H279" s="15">
        <f>'Fiscal Forecasts'!H$195</f>
        <v>3.0539999999999998</v>
      </c>
      <c r="I279" s="15">
        <f>'Fiscal Forecasts'!I$195</f>
        <v>2.948</v>
      </c>
      <c r="J279" s="15">
        <f>'Fiscal Forecasts'!J$195</f>
        <v>3.298</v>
      </c>
      <c r="K279" s="15">
        <f>'Fiscal Forecasts'!K$195</f>
        <v>2.9420000000000002</v>
      </c>
      <c r="L279" s="6">
        <f ca="1">IF(L$6=OFFSET(Assumptions!$B$8,0,$C$1),AVERAGE(I$279/I$278,J$279/J$278,K$279/K$278),K$279/K$278)*L$278</f>
        <v>3.5539097613202917</v>
      </c>
      <c r="M279" s="6">
        <f ca="1">IF(M$6=OFFSET(Assumptions!$B$8,0,$C$1),AVERAGE(J$279/J$278,K$279/K$278,L$279/L$278),L$279/L$278)*M$278</f>
        <v>4.0072028493958696</v>
      </c>
      <c r="N279" s="6">
        <f ca="1">IF(N$6=OFFSET(Assumptions!$B$8,0,$C$1),AVERAGE(K$279/K$278,L$279/L$278,M$279/M$278),M$279/M$278)*N$278</f>
        <v>4.1857570335140757</v>
      </c>
      <c r="O279" s="6">
        <f ca="1">IF(O$6=OFFSET(Assumptions!$B$8,0,$C$1),AVERAGE(L$279/L$278,M$279/M$278,N$279/N$278),N$279/N$278)*O$278</f>
        <v>4.3688832634425925</v>
      </c>
      <c r="P279" s="6">
        <f ca="1">IF(P$6=OFFSET(Assumptions!$B$8,0,$C$1),AVERAGE(M$279/M$278,N$279/N$278,O$279/O$278),O$279/O$278)*P$278</f>
        <v>4.5582280964420843</v>
      </c>
      <c r="Q279" s="6">
        <f ca="1">IF(Q$6=OFFSET(Assumptions!$B$8,0,$C$1),AVERAGE(N$279/N$278,O$279/O$278,P$279/P$278),P$279/P$278)*Q$278</f>
        <v>4.7540931646555959</v>
      </c>
      <c r="R279" s="6">
        <f ca="1">IF(R$6=OFFSET(Assumptions!$B$8,0,$C$1),AVERAGE(O$279/O$278,P$279/P$278,Q$279/Q$278),Q$279/Q$278)*R$278</f>
        <v>4.9561414495221738</v>
      </c>
      <c r="S279" s="6">
        <f ca="1">IF(S$6=OFFSET(Assumptions!$B$8,0,$C$1),AVERAGE(P$279/P$278,Q$279/Q$278,R$279/R$278),R$279/R$278)*S$278</f>
        <v>5.1649747082036237</v>
      </c>
      <c r="T279" s="6">
        <f ca="1">IF(T$6=OFFSET(Assumptions!$B$8,0,$C$1),AVERAGE(Q$279/Q$278,R$279/R$278,S$279/S$278),S$279/S$278)*T$278</f>
        <v>5.3807829745945916</v>
      </c>
      <c r="U279" s="6">
        <f ca="1">IF(U$6=OFFSET(Assumptions!$B$8,0,$C$1),AVERAGE(R$279/R$278,S$279/S$278,T$279/T$278),T$279/T$278)*U$278</f>
        <v>5.604218624424421</v>
      </c>
    </row>
    <row r="280" spans="1:21" x14ac:dyDescent="0.2">
      <c r="A280" s="1" t="s">
        <v>483</v>
      </c>
      <c r="B280" s="4" t="str">
        <f t="shared" si="141"/>
        <v>From Fiscal</v>
      </c>
      <c r="D280" s="14">
        <f>'Fiscal Forecasts'!D$196</f>
        <v>6.9189999999999996</v>
      </c>
      <c r="E280" s="14">
        <f>'Fiscal Forecasts'!E$196</f>
        <v>7.0590000000000002</v>
      </c>
      <c r="F280" s="14">
        <f>'Fiscal Forecasts'!F$196</f>
        <v>6.9619999999999997</v>
      </c>
      <c r="G280" s="15">
        <f>'Fiscal Forecasts'!G$196</f>
        <v>7.6040000000000001</v>
      </c>
      <c r="H280" s="15">
        <f>'Fiscal Forecasts'!H$196</f>
        <v>8.0909999999999993</v>
      </c>
      <c r="I280" s="15">
        <f>'Fiscal Forecasts'!I$196</f>
        <v>8.3070000000000004</v>
      </c>
      <c r="J280" s="15">
        <f>'Fiscal Forecasts'!J$196</f>
        <v>8.6539999999999999</v>
      </c>
      <c r="K280" s="15">
        <f>'Fiscal Forecasts'!K$196</f>
        <v>9.0239999999999991</v>
      </c>
      <c r="L280" s="6">
        <f ca="1">IF(L$6=OFFSET(Assumptions!$B$8,0,$C$1),AVERAGE(I$280/I$13,J$280/J$13,K$280/K$13),K$280/K$13)*L$13</f>
        <v>9.4740216276693552</v>
      </c>
      <c r="M280" s="6">
        <f ca="1">IF(M$6=OFFSET(Assumptions!$B$8,0,$C$1),AVERAGE(J$280/J$13,K$280/K$13,L$280/L$13),L$280/L$13)*M$13</f>
        <v>9.9059984886175076</v>
      </c>
      <c r="N280" s="6">
        <f ca="1">IF(N$6=OFFSET(Assumptions!$B$8,0,$C$1),AVERAGE(K$280/K$13,L$280/L$13,M$280/M$13),M$280/M$13)*N$13</f>
        <v>10.347393033512569</v>
      </c>
      <c r="O280" s="6">
        <f ca="1">IF(O$6=OFFSET(Assumptions!$B$8,0,$C$1),AVERAGE(L$280/L$13,M$280/M$13,N$280/N$13),N$280/N$13)*O$13</f>
        <v>10.800089895906645</v>
      </c>
      <c r="P280" s="6">
        <f ca="1">IF(P$6=OFFSET(Assumptions!$B$8,0,$C$1),AVERAGE(M$280/M$13,N$280/N$13,O$280/O$13),O$280/O$13)*P$13</f>
        <v>11.268159444670134</v>
      </c>
      <c r="Q280" s="6">
        <f ca="1">IF(Q$6=OFFSET(Assumptions!$B$8,0,$C$1),AVERAGE(N$280/N$13,O$280/O$13,P$280/P$13),P$280/P$13)*Q$13</f>
        <v>11.75234732899162</v>
      </c>
      <c r="R280" s="6">
        <f ca="1">IF(R$6=OFFSET(Assumptions!$B$8,0,$C$1),AVERAGE(O$280/O$13,P$280/P$13,Q$280/Q$13),Q$280/Q$13)*R$13</f>
        <v>12.251820422752727</v>
      </c>
      <c r="S280" s="6">
        <f ca="1">IF(S$6=OFFSET(Assumptions!$B$8,0,$C$1),AVERAGE(P$280/P$13,Q$280/Q$13,R$280/R$13),R$280/R$13)*S$13</f>
        <v>12.768066298646778</v>
      </c>
      <c r="T280" s="6">
        <f ca="1">IF(T$6=OFFSET(Assumptions!$B$8,0,$C$1),AVERAGE(Q$280/Q$13,R$280/R$13,S$280/S$13),S$280/S$13)*T$13</f>
        <v>13.301554729616123</v>
      </c>
      <c r="U280" s="6">
        <f ca="1">IF(U$6=OFFSET(Assumptions!$B$8,0,$C$1),AVERAGE(R$280/R$13,S$280/S$13,T$280/T$13),T$280/T$13)*U$13</f>
        <v>13.853898419891559</v>
      </c>
    </row>
    <row r="281" spans="1:21" x14ac:dyDescent="0.2">
      <c r="A281" s="1" t="s">
        <v>484</v>
      </c>
      <c r="B281" s="4" t="str">
        <f t="shared" si="141"/>
        <v>From Fiscal</v>
      </c>
      <c r="D281" s="14">
        <f>'Fiscal Forecasts'!D$40-SUM(D$278:D$280)</f>
        <v>-2.495000000000001</v>
      </c>
      <c r="E281" s="14">
        <f>'Fiscal Forecasts'!E$40-SUM(E$278:E$280)</f>
        <v>-2.4949999999999992</v>
      </c>
      <c r="F281" s="14">
        <f>'Fiscal Forecasts'!F$40-SUM(F$278:F$280)</f>
        <v>-2.4030000000000005</v>
      </c>
      <c r="G281" s="15">
        <f>'Fiscal Forecasts'!G$40-SUM(G$278:G$280)</f>
        <v>-2.6899999999999995</v>
      </c>
      <c r="H281" s="15">
        <f>'Fiscal Forecasts'!H$40-SUM(H$278:H$280)</f>
        <v>-2.8289999999999988</v>
      </c>
      <c r="I281" s="15">
        <f>'Fiscal Forecasts'!I$40-SUM(I$278:I$280)</f>
        <v>-2.7720000000000002</v>
      </c>
      <c r="J281" s="15">
        <f>'Fiscal Forecasts'!J$40-SUM(J$278:J$280)</f>
        <v>-3.1760000000000002</v>
      </c>
      <c r="K281" s="15">
        <f>'Fiscal Forecasts'!K$40-SUM(K$278:K$280)</f>
        <v>-2.9049999999999994</v>
      </c>
      <c r="L281" s="6">
        <f ca="1">IF(L$6=OFFSET(Assumptions!$B$8,0,$C$1),AVERAGE(I$281/I$278,J$281/J$278,K$281/K$278),K$281/K$278)*L$278</f>
        <v>-3.4236024556716806</v>
      </c>
      <c r="M281" s="6">
        <f ca="1">IF(M$6=OFFSET(Assumptions!$B$8,0,$C$1),AVERAGE(J$281/J$278,K$281/K$278,L$281/L$278),L$281/L$278)*M$278</f>
        <v>-3.8602751439782104</v>
      </c>
      <c r="N281" s="6">
        <f ca="1">IF(N$6=OFFSET(Assumptions!$B$8,0,$C$1),AVERAGE(K$281/K$278,L$281/L$278,M$281/M$278),M$281/M$278)*N$278</f>
        <v>-4.0322824779490212</v>
      </c>
      <c r="O281" s="6">
        <f ca="1">IF(O$6=OFFSET(Assumptions!$B$8,0,$C$1),AVERAGE(L$281/L$278,M$281/M$278,N$281/N$278),N$281/N$278)*O$278</f>
        <v>-4.2086942195482937</v>
      </c>
      <c r="P281" s="6">
        <f ca="1">IF(P$6=OFFSET(Assumptions!$B$8,0,$C$1),AVERAGE(M$281/M$278,N$281/N$278,O$281/O$278),O$281/O$278)*P$278</f>
        <v>-4.3910965535301729</v>
      </c>
      <c r="Q281" s="6">
        <f ca="1">IF(Q$6=OFFSET(Assumptions!$B$8,0,$C$1),AVERAGE(N$281/N$278,O$281/O$278,P$281/P$278),P$281/P$278)*Q$278</f>
        <v>-4.5797800524232235</v>
      </c>
      <c r="R281" s="6">
        <f ca="1">IF(R$6=OFFSET(Assumptions!$B$8,0,$C$1),AVERAGE(O$281/O$278,P$281/P$278,Q$281/Q$278),Q$281/Q$278)*R$278</f>
        <v>-4.7744200547558906</v>
      </c>
      <c r="S281" s="6">
        <f ca="1">IF(S$6=OFFSET(Assumptions!$B$8,0,$C$1),AVERAGE(P$281/P$278,Q$281/Q$278,R$281/R$278),R$281/R$278)*S$278</f>
        <v>-4.975596253721088</v>
      </c>
      <c r="T281" s="6">
        <f ca="1">IF(T$6=OFFSET(Assumptions!$B$8,0,$C$1),AVERAGE(Q$281/Q$278,R$281/R$278,S$281/S$278),S$281/S$278)*T$278</f>
        <v>-5.1834917154493807</v>
      </c>
      <c r="U281" s="6">
        <f ca="1">IF(U$6=OFFSET(Assumptions!$B$8,0,$C$1),AVERAGE(R$281/R$278,S$281/S$278,T$281/T$278),T$281/T$278)*U$278</f>
        <v>-5.398734895725803</v>
      </c>
    </row>
    <row r="282" spans="1:21" ht="15" x14ac:dyDescent="0.25">
      <c r="A282" s="2" t="s">
        <v>524</v>
      </c>
      <c r="D282" s="34">
        <f t="shared" ref="D282:U282" si="142">SUM(D$278:D$281)</f>
        <v>9.2789999999999999</v>
      </c>
      <c r="E282" s="34">
        <f t="shared" si="142"/>
        <v>9.4</v>
      </c>
      <c r="F282" s="34">
        <f t="shared" si="142"/>
        <v>9.36</v>
      </c>
      <c r="G282" s="33">
        <f t="shared" si="142"/>
        <v>10.167</v>
      </c>
      <c r="H282" s="33">
        <f t="shared" si="142"/>
        <v>10.938000000000001</v>
      </c>
      <c r="I282" s="33">
        <f t="shared" si="142"/>
        <v>11.003</v>
      </c>
      <c r="J282" s="33">
        <f t="shared" si="142"/>
        <v>11.659000000000001</v>
      </c>
      <c r="K282" s="33">
        <f t="shared" si="142"/>
        <v>11.654999999999999</v>
      </c>
      <c r="L282" s="37">
        <f t="shared" ca="1" si="142"/>
        <v>12.696527757923839</v>
      </c>
      <c r="M282" s="37">
        <f t="shared" ca="1" si="142"/>
        <v>13.539527929318364</v>
      </c>
      <c r="N282" s="37">
        <f t="shared" ca="1" si="142"/>
        <v>14.142826402997972</v>
      </c>
      <c r="O282" s="37">
        <f t="shared" ca="1" si="142"/>
        <v>14.761572894726418</v>
      </c>
      <c r="P282" s="37">
        <f t="shared" ca="1" si="142"/>
        <v>15.401330788454015</v>
      </c>
      <c r="Q282" s="37">
        <f t="shared" ca="1" si="142"/>
        <v>16.063119238183855</v>
      </c>
      <c r="R282" s="37">
        <f t="shared" ca="1" si="142"/>
        <v>16.74579952636401</v>
      </c>
      <c r="S282" s="37">
        <f t="shared" ca="1" si="142"/>
        <v>17.451404868732524</v>
      </c>
      <c r="T282" s="37">
        <f t="shared" ca="1" si="142"/>
        <v>18.180577351383054</v>
      </c>
      <c r="U282" s="37">
        <f t="shared" ca="1" si="142"/>
        <v>18.935521219955234</v>
      </c>
    </row>
    <row r="283" spans="1:21" ht="15" x14ac:dyDescent="0.25">
      <c r="A283" s="2"/>
      <c r="D283" s="46"/>
      <c r="E283" s="46"/>
      <c r="F283" s="46"/>
      <c r="G283" s="47"/>
      <c r="H283" s="47"/>
      <c r="I283" s="47"/>
      <c r="J283" s="47"/>
      <c r="K283" s="47"/>
      <c r="L283" s="48"/>
      <c r="M283" s="48"/>
      <c r="N283" s="48"/>
      <c r="O283" s="48"/>
      <c r="P283" s="48"/>
      <c r="Q283" s="48"/>
      <c r="R283" s="48"/>
      <c r="S283" s="48"/>
      <c r="T283" s="48"/>
      <c r="U283" s="48"/>
    </row>
    <row r="284" spans="1:21" ht="15" x14ac:dyDescent="0.25">
      <c r="A284" s="18" t="s">
        <v>525</v>
      </c>
      <c r="D284" s="46"/>
      <c r="E284" s="46"/>
      <c r="F284" s="46"/>
      <c r="G284" s="47"/>
      <c r="H284" s="47"/>
      <c r="I284" s="47"/>
      <c r="J284" s="47"/>
      <c r="K284" s="47"/>
      <c r="L284" s="48"/>
      <c r="M284" s="48"/>
      <c r="N284" s="48"/>
      <c r="O284" s="48"/>
      <c r="P284" s="48"/>
      <c r="Q284" s="48"/>
      <c r="R284" s="48"/>
      <c r="S284" s="48"/>
      <c r="T284" s="48"/>
      <c r="U284" s="48"/>
    </row>
    <row r="285" spans="1:21" x14ac:dyDescent="0.2">
      <c r="A285" s="1" t="s">
        <v>1221</v>
      </c>
      <c r="D285" s="14">
        <f>D$228</f>
        <v>6.0000000000000001E-3</v>
      </c>
      <c r="E285" s="14">
        <f t="shared" ref="E285:U285" si="143">E$228</f>
        <v>0</v>
      </c>
      <c r="F285" s="14">
        <f t="shared" si="143"/>
        <v>8.0000000000000002E-3</v>
      </c>
      <c r="G285" s="15">
        <f t="shared" si="143"/>
        <v>0.05</v>
      </c>
      <c r="H285" s="15">
        <f t="shared" si="143"/>
        <v>1E-3</v>
      </c>
      <c r="I285" s="15">
        <f t="shared" si="143"/>
        <v>1E-3</v>
      </c>
      <c r="J285" s="15">
        <f t="shared" si="143"/>
        <v>1E-3</v>
      </c>
      <c r="K285" s="15">
        <f t="shared" si="143"/>
        <v>1E-3</v>
      </c>
      <c r="L285" s="6">
        <f t="shared" ca="1" si="143"/>
        <v>0</v>
      </c>
      <c r="M285" s="6">
        <f t="shared" ca="1" si="143"/>
        <v>0</v>
      </c>
      <c r="N285" s="6">
        <f t="shared" ca="1" si="143"/>
        <v>0</v>
      </c>
      <c r="O285" s="6">
        <f t="shared" ca="1" si="143"/>
        <v>0</v>
      </c>
      <c r="P285" s="6">
        <f t="shared" ca="1" si="143"/>
        <v>0</v>
      </c>
      <c r="Q285" s="6">
        <f t="shared" ca="1" si="143"/>
        <v>0</v>
      </c>
      <c r="R285" s="6">
        <f t="shared" ca="1" si="143"/>
        <v>0</v>
      </c>
      <c r="S285" s="6">
        <f t="shared" ca="1" si="143"/>
        <v>0</v>
      </c>
      <c r="T285" s="6">
        <f t="shared" ca="1" si="143"/>
        <v>0</v>
      </c>
      <c r="U285" s="6">
        <f t="shared" ca="1" si="143"/>
        <v>0</v>
      </c>
    </row>
    <row r="286" spans="1:21" x14ac:dyDescent="0.2">
      <c r="A286" s="1" t="s">
        <v>474</v>
      </c>
      <c r="D286" s="14">
        <f t="shared" ref="D286:U286" si="144">D$180</f>
        <v>0.85599999999999998</v>
      </c>
      <c r="E286" s="14">
        <f t="shared" si="144"/>
        <v>0.69799999999999995</v>
      </c>
      <c r="F286" s="14">
        <f t="shared" si="144"/>
        <v>0.74299999999999999</v>
      </c>
      <c r="G286" s="15">
        <f t="shared" si="144"/>
        <v>0.83</v>
      </c>
      <c r="H286" s="15">
        <f t="shared" si="144"/>
        <v>0.86</v>
      </c>
      <c r="I286" s="15">
        <f t="shared" si="144"/>
        <v>0.90100000000000002</v>
      </c>
      <c r="J286" s="15">
        <f t="shared" si="144"/>
        <v>0.94299999999999995</v>
      </c>
      <c r="K286" s="15">
        <f t="shared" si="144"/>
        <v>0.98199999999999998</v>
      </c>
      <c r="L286" s="6">
        <f t="shared" ca="1" si="144"/>
        <v>1.0169999999999999</v>
      </c>
      <c r="M286" s="6">
        <f t="shared" ca="1" si="144"/>
        <v>1.052</v>
      </c>
      <c r="N286" s="6">
        <f t="shared" ca="1" si="144"/>
        <v>1.085</v>
      </c>
      <c r="O286" s="6">
        <f t="shared" ca="1" si="144"/>
        <v>1.1180000000000001</v>
      </c>
      <c r="P286" s="6">
        <f t="shared" ca="1" si="144"/>
        <v>1.147</v>
      </c>
      <c r="Q286" s="6">
        <f t="shared" ca="1" si="144"/>
        <v>1.1739999999999999</v>
      </c>
      <c r="R286" s="6">
        <f t="shared" ca="1" si="144"/>
        <v>1.198</v>
      </c>
      <c r="S286" s="6">
        <f t="shared" ca="1" si="144"/>
        <v>1.2210000000000001</v>
      </c>
      <c r="T286" s="6">
        <f t="shared" ca="1" si="144"/>
        <v>1.244</v>
      </c>
      <c r="U286" s="6">
        <f t="shared" ca="1" si="144"/>
        <v>1.266</v>
      </c>
    </row>
    <row r="287" spans="1:21" x14ac:dyDescent="0.2">
      <c r="A287" s="1" t="s">
        <v>526</v>
      </c>
      <c r="B287" s="4" t="str">
        <f>$B$37</f>
        <v>From Fiscal</v>
      </c>
      <c r="D287" s="14">
        <f>'Fiscal Forecasts'!D$58-SUM(D$285:D$286)</f>
        <v>1.3660000000000001</v>
      </c>
      <c r="E287" s="14">
        <f>'Fiscal Forecasts'!E$58-SUM(E$285:E$286)</f>
        <v>1.4090000000000003</v>
      </c>
      <c r="F287" s="14">
        <f>'Fiscal Forecasts'!F$58-SUM(F$285:F$286)</f>
        <v>1.7930000000000001</v>
      </c>
      <c r="G287" s="15">
        <f>'Fiscal Forecasts'!G$58-SUM(G$285:G$286)</f>
        <v>2.0500000000000003</v>
      </c>
      <c r="H287" s="15">
        <f>'Fiscal Forecasts'!H$58-SUM(H$285:H$286)</f>
        <v>2.4459999999999997</v>
      </c>
      <c r="I287" s="15">
        <f>'Fiscal Forecasts'!I$58-SUM(I$285:I$286)</f>
        <v>2.2629999999999999</v>
      </c>
      <c r="J287" s="15">
        <f>'Fiscal Forecasts'!J$58-SUM(J$285:J$286)</f>
        <v>2.1800000000000002</v>
      </c>
      <c r="K287" s="15">
        <f>'Fiscal Forecasts'!K$58-SUM(K$285:K$286)</f>
        <v>2.1579999999999999</v>
      </c>
      <c r="L287" s="6">
        <f>K$287</f>
        <v>2.1579999999999999</v>
      </c>
      <c r="M287" s="6">
        <f t="shared" ref="M287:U287" si="145">L$287</f>
        <v>2.1579999999999999</v>
      </c>
      <c r="N287" s="6">
        <f t="shared" si="145"/>
        <v>2.1579999999999999</v>
      </c>
      <c r="O287" s="6">
        <f t="shared" si="145"/>
        <v>2.1579999999999999</v>
      </c>
      <c r="P287" s="6">
        <f t="shared" si="145"/>
        <v>2.1579999999999999</v>
      </c>
      <c r="Q287" s="6">
        <f t="shared" si="145"/>
        <v>2.1579999999999999</v>
      </c>
      <c r="R287" s="6">
        <f t="shared" si="145"/>
        <v>2.1579999999999999</v>
      </c>
      <c r="S287" s="6">
        <f t="shared" si="145"/>
        <v>2.1579999999999999</v>
      </c>
      <c r="T287" s="6">
        <f t="shared" si="145"/>
        <v>2.1579999999999999</v>
      </c>
      <c r="U287" s="6">
        <f t="shared" si="145"/>
        <v>2.1579999999999999</v>
      </c>
    </row>
    <row r="288" spans="1:21" ht="15" x14ac:dyDescent="0.25">
      <c r="A288" s="2" t="s">
        <v>527</v>
      </c>
      <c r="D288" s="34">
        <f>SUM(D$285:D$287)</f>
        <v>2.2280000000000002</v>
      </c>
      <c r="E288" s="34">
        <f>SUM(E$285:E$287)</f>
        <v>2.1070000000000002</v>
      </c>
      <c r="F288" s="34">
        <f>SUM(F$285:F$287)</f>
        <v>2.544</v>
      </c>
      <c r="G288" s="33">
        <f t="shared" ref="G288:U288" si="146">SUM(G$285:G$287)</f>
        <v>2.93</v>
      </c>
      <c r="H288" s="33">
        <f t="shared" si="146"/>
        <v>3.3069999999999995</v>
      </c>
      <c r="I288" s="33">
        <f t="shared" si="146"/>
        <v>3.165</v>
      </c>
      <c r="J288" s="33">
        <f t="shared" si="146"/>
        <v>3.1240000000000001</v>
      </c>
      <c r="K288" s="33">
        <f t="shared" si="146"/>
        <v>3.141</v>
      </c>
      <c r="L288" s="37">
        <f t="shared" ca="1" si="146"/>
        <v>3.1749999999999998</v>
      </c>
      <c r="M288" s="37">
        <f t="shared" ca="1" si="146"/>
        <v>3.21</v>
      </c>
      <c r="N288" s="37">
        <f t="shared" ca="1" si="146"/>
        <v>3.2429999999999999</v>
      </c>
      <c r="O288" s="37">
        <f t="shared" ca="1" si="146"/>
        <v>3.2759999999999998</v>
      </c>
      <c r="P288" s="37">
        <f t="shared" ca="1" si="146"/>
        <v>3.3049999999999997</v>
      </c>
      <c r="Q288" s="37">
        <f t="shared" ca="1" si="146"/>
        <v>3.3319999999999999</v>
      </c>
      <c r="R288" s="37">
        <f t="shared" ca="1" si="146"/>
        <v>3.3559999999999999</v>
      </c>
      <c r="S288" s="37">
        <f t="shared" ca="1" si="146"/>
        <v>3.379</v>
      </c>
      <c r="T288" s="37">
        <f t="shared" ca="1" si="146"/>
        <v>3.4020000000000001</v>
      </c>
      <c r="U288" s="37">
        <f t="shared" ca="1" si="146"/>
        <v>3.4239999999999999</v>
      </c>
    </row>
    <row r="289" spans="1:21" ht="15" x14ac:dyDescent="0.25">
      <c r="A289" s="2" t="s">
        <v>528</v>
      </c>
      <c r="B289" s="4" t="str">
        <f>$B$37</f>
        <v>From Fiscal</v>
      </c>
      <c r="D289" s="39">
        <f>'Fiscal Forecasts'!D$41</f>
        <v>8.2349999999999994</v>
      </c>
      <c r="E289" s="39">
        <f>'Fiscal Forecasts'!E$41</f>
        <v>7.4279999999999999</v>
      </c>
      <c r="F289" s="39">
        <f>'Fiscal Forecasts'!F$41</f>
        <v>8.452</v>
      </c>
      <c r="G289" s="38">
        <f>'Fiscal Forecasts'!G$41</f>
        <v>8.8309999999999995</v>
      </c>
      <c r="H289" s="38">
        <f>'Fiscal Forecasts'!H$41</f>
        <v>9.15</v>
      </c>
      <c r="I289" s="38">
        <f>'Fiscal Forecasts'!I$41</f>
        <v>9.3179999999999996</v>
      </c>
      <c r="J289" s="38">
        <f>'Fiscal Forecasts'!J$41</f>
        <v>9.3970000000000002</v>
      </c>
      <c r="K289" s="38">
        <f>'Fiscal Forecasts'!K$41</f>
        <v>9.6210000000000004</v>
      </c>
      <c r="L289" s="7">
        <f ca="1">SUM(L$288,IF(L$6=OFFSET(Assumptions!$B$8,0,$C$1),AVERAGE((I$289-I$288)/I$13,(J$289-J$288)/J$13,(K$289-K$288)/K$13),(K$289-K$288)/K$13)*L$13)</f>
        <v>10.071226546905692</v>
      </c>
      <c r="M289" s="7">
        <f ca="1">SUM(M$288,IF(M$6=OFFSET(Assumptions!$B$8,0,$C$1),AVERAGE((J$289-J$288)/J$13,(K$289-K$288)/K$13,(L$289-L$288)/L$13),(L$289-L$288)/L$13)*M$13)</f>
        <v>10.420666434547417</v>
      </c>
      <c r="N289" s="7">
        <f ca="1">SUM(N$288,IF(N$6=OFFSET(Assumptions!$B$8,0,$C$1),AVERAGE((K$289-K$288)/K$13,(L$289-L$288)/L$13,(M$289-M$288)/M$13),(M$289-M$288)/M$13)*N$13)</f>
        <v>10.774961540025608</v>
      </c>
      <c r="O289" s="7">
        <f ca="1">SUM(O$288,IF(O$6=OFFSET(Assumptions!$B$8,0,$C$1),AVERAGE((L$289-L$288)/L$13,(M$289-M$288)/M$13,(N$289-N$288)/N$13),(N$289-N$288)/N$13)*O$13)</f>
        <v>11.137483705251119</v>
      </c>
      <c r="P289" s="7">
        <f ca="1">SUM(P$288,IF(P$6=OFFSET(Assumptions!$B$8,0,$C$1),AVERAGE((M$289-M$288)/M$13,(N$289-N$288)/N$13,(O$289-O$288)/O$13),(O$289-O$288)/O$13)*P$13)</f>
        <v>11.507195788761004</v>
      </c>
      <c r="Q289" s="7">
        <f ca="1">SUM(Q$288,IF(Q$6=OFFSET(Assumptions!$B$8,0,$C$1),AVERAGE((N$289-N$288)/N$13,(O$289-O$288)/O$13,(P$289-P$288)/P$13),(P$289-P$288)/P$13)*Q$13)</f>
        <v>11.886640555384293</v>
      </c>
      <c r="R289" s="7">
        <f ca="1">SUM(R$288,IF(R$6=OFFSET(Assumptions!$B$8,0,$C$1),AVERAGE((O$289-O$288)/O$13,(P$289-P$288)/P$13,(Q$289-Q$288)/Q$13),(Q$289-Q$288)/Q$13)*R$13)</f>
        <v>12.274211565038808</v>
      </c>
      <c r="S289" s="7">
        <f ca="1">SUM(S$288,IF(S$6=OFFSET(Assumptions!$B$8,0,$C$1),AVERAGE((P$289-P$288)/P$13,(Q$289-Q$288)/Q$13,(R$289-R$288)/R$13),(R$289-R$288)/R$13)*S$13)</f>
        <v>12.67299163542344</v>
      </c>
      <c r="T289" s="7">
        <f ca="1">SUM(T$288,IF(T$6=OFFSET(Assumptions!$B$8,0,$C$1),AVERAGE((Q$289-Q$288)/Q$13,(R$289-R$288)/R$13,(S$289-S$288)/S$13),(S$289-S$288)/S$13)*T$13)</f>
        <v>13.084322718537393</v>
      </c>
      <c r="U289" s="7">
        <f ca="1">SUM(U$288,IF(U$6=OFFSET(Assumptions!$B$8,0,$C$1),AVERAGE((R$289-R$288)/R$13,(S$289-S$288)/S$13,(T$289-T$288)/T$13),(T$289-T$288)/T$13)*U$13)</f>
        <v>13.508378716464259</v>
      </c>
    </row>
    <row r="290" spans="1:21" ht="15" x14ac:dyDescent="0.25">
      <c r="A290" s="2"/>
      <c r="B290" s="4"/>
      <c r="D290" s="39"/>
      <c r="E290" s="39"/>
      <c r="F290" s="39"/>
      <c r="G290" s="38"/>
      <c r="H290" s="38"/>
      <c r="I290" s="38"/>
      <c r="J290" s="38"/>
      <c r="K290" s="38"/>
      <c r="L290" s="7"/>
      <c r="M290" s="7"/>
      <c r="N290" s="7"/>
      <c r="O290" s="7"/>
      <c r="P290" s="7"/>
      <c r="Q290" s="7"/>
      <c r="R290" s="7"/>
      <c r="S290" s="7"/>
      <c r="T290" s="7"/>
      <c r="U290" s="7"/>
    </row>
    <row r="291" spans="1:21" ht="15" x14ac:dyDescent="0.25">
      <c r="A291" s="18" t="s">
        <v>577</v>
      </c>
      <c r="D291" s="46"/>
      <c r="E291" s="46"/>
      <c r="F291" s="46"/>
      <c r="G291" s="47"/>
      <c r="H291" s="47"/>
      <c r="I291" s="47"/>
      <c r="J291" s="47"/>
      <c r="K291" s="47"/>
      <c r="L291" s="48"/>
      <c r="M291" s="48"/>
      <c r="N291" s="48"/>
      <c r="O291" s="48"/>
      <c r="P291" s="48"/>
      <c r="Q291" s="48"/>
      <c r="R291" s="48"/>
      <c r="S291" s="48"/>
      <c r="T291" s="48"/>
      <c r="U291" s="48"/>
    </row>
    <row r="292" spans="1:21" ht="15" x14ac:dyDescent="0.25">
      <c r="A292" s="2" t="s">
        <v>529</v>
      </c>
      <c r="B292" s="4" t="str">
        <f t="shared" ref="B292:B319" si="147">$B$37</f>
        <v>From Fiscal</v>
      </c>
      <c r="D292" s="39">
        <f>'Fiscal Forecasts'!D$60</f>
        <v>0.77800000000000002</v>
      </c>
      <c r="E292" s="39">
        <f>'Fiscal Forecasts'!E$60</f>
        <v>0.78700000000000003</v>
      </c>
      <c r="F292" s="39">
        <f>'Fiscal Forecasts'!F$60</f>
        <v>0.85</v>
      </c>
      <c r="G292" s="38">
        <f>'Fiscal Forecasts'!G$60</f>
        <v>0.88100000000000001</v>
      </c>
      <c r="H292" s="38">
        <f>'Fiscal Forecasts'!H$60</f>
        <v>0.88</v>
      </c>
      <c r="I292" s="38">
        <f>'Fiscal Forecasts'!I$60</f>
        <v>0.85099999999999998</v>
      </c>
      <c r="J292" s="38">
        <f>'Fiscal Forecasts'!J$60</f>
        <v>0.82</v>
      </c>
      <c r="K292" s="38">
        <f>'Fiscal Forecasts'!K$60</f>
        <v>0.83299999999999996</v>
      </c>
      <c r="L292" s="48">
        <f>K$292</f>
        <v>0.83299999999999996</v>
      </c>
      <c r="M292" s="48">
        <f t="shared" ref="M292:U292" si="148">L$292</f>
        <v>0.83299999999999996</v>
      </c>
      <c r="N292" s="48">
        <f t="shared" si="148"/>
        <v>0.83299999999999996</v>
      </c>
      <c r="O292" s="48">
        <f t="shared" si="148"/>
        <v>0.83299999999999996</v>
      </c>
      <c r="P292" s="48">
        <f t="shared" si="148"/>
        <v>0.83299999999999996</v>
      </c>
      <c r="Q292" s="48">
        <f t="shared" si="148"/>
        <v>0.83299999999999996</v>
      </c>
      <c r="R292" s="48">
        <f t="shared" si="148"/>
        <v>0.83299999999999996</v>
      </c>
      <c r="S292" s="48">
        <f t="shared" si="148"/>
        <v>0.83299999999999996</v>
      </c>
      <c r="T292" s="48">
        <f t="shared" si="148"/>
        <v>0.83299999999999996</v>
      </c>
      <c r="U292" s="48">
        <f t="shared" si="148"/>
        <v>0.83299999999999996</v>
      </c>
    </row>
    <row r="293" spans="1:21" ht="15" x14ac:dyDescent="0.25">
      <c r="A293" s="2" t="s">
        <v>530</v>
      </c>
      <c r="B293" s="4" t="str">
        <f t="shared" si="147"/>
        <v>From Fiscal</v>
      </c>
      <c r="D293" s="39">
        <f>'Fiscal Forecasts'!D$43</f>
        <v>2.198</v>
      </c>
      <c r="E293" s="39">
        <f>'Fiscal Forecasts'!E$43</f>
        <v>2.21</v>
      </c>
      <c r="F293" s="39">
        <f>'Fiscal Forecasts'!F$43</f>
        <v>2.4329999999999998</v>
      </c>
      <c r="G293" s="38">
        <f>'Fiscal Forecasts'!G$43</f>
        <v>2.5830000000000002</v>
      </c>
      <c r="H293" s="38">
        <f>'Fiscal Forecasts'!H$43</f>
        <v>2.6030000000000002</v>
      </c>
      <c r="I293" s="38">
        <f>'Fiscal Forecasts'!I$43</f>
        <v>2.6259999999999999</v>
      </c>
      <c r="J293" s="38">
        <f>'Fiscal Forecasts'!J$43</f>
        <v>2.6440000000000001</v>
      </c>
      <c r="K293" s="38">
        <f>'Fiscal Forecasts'!K$43</f>
        <v>2.7280000000000002</v>
      </c>
      <c r="L293" s="7">
        <f ca="1">SUM(L$292,IF(L$6=OFFSET(Assumptions!$B$8,0,$C$1),AVERAGE((I$293-I$292)/I$13,(J$293-J$292)/J$13,(K$293-K$292)/K$13),(K$293-K$292)/K$13)*L$13)</f>
        <v>2.8366062008674993</v>
      </c>
      <c r="M293" s="7">
        <f ca="1">SUM(M$292,IF(M$6=OFFSET(Assumptions!$B$8,0,$C$1),AVERAGE((J$293-J$292)/J$13,(K$293-K$292)/K$13,(L$293-L$292)/L$13),(L$293-L$292)/L$13)*M$13)</f>
        <v>2.9279624961391102</v>
      </c>
      <c r="N293" s="7">
        <f ca="1">SUM(N$292,IF(N$6=OFFSET(Assumptions!$B$8,0,$C$1),AVERAGE((K$293-K$292)/K$13,(L$293-L$292)/L$13,(M$293-M$292)/M$13),(M$293-M$292)/M$13)*N$13)</f>
        <v>3.0213104830803639</v>
      </c>
      <c r="O293" s="7">
        <f ca="1">SUM(O$292,IF(O$6=OFFSET(Assumptions!$B$8,0,$C$1),AVERAGE((L$293-L$292)/L$13,(M$293-M$292)/M$13,(N$293-N$292)/N$13),(N$293-N$292)/N$13)*O$13)</f>
        <v>3.1170487319732114</v>
      </c>
      <c r="P293" s="7">
        <f ca="1">SUM(P$292,IF(P$6=OFFSET(Assumptions!$B$8,0,$C$1),AVERAGE((M$293-M$292)/M$13,(N$293-N$292)/N$13,(O$293-O$292)/O$13),(O$293-O$292)/O$13)*P$13)</f>
        <v>3.2160380616577466</v>
      </c>
      <c r="Q293" s="7">
        <f ca="1">SUM(Q$292,IF(Q$6=OFFSET(Assumptions!$B$8,0,$C$1),AVERAGE((N$293-N$292)/N$13,(O$293-O$292)/O$13,(P$293-P$292)/P$13),(P$293-P$292)/P$13)*Q$13)</f>
        <v>3.3184361651809802</v>
      </c>
      <c r="R293" s="7">
        <f ca="1">SUM(R$292,IF(R$6=OFFSET(Assumptions!$B$8,0,$C$1),AVERAGE((O$293-O$292)/O$13,(P$293-P$292)/P$13,(Q$293-Q$292)/Q$13),(Q$293-Q$292)/Q$13)*R$13)</f>
        <v>3.4240668495044675</v>
      </c>
      <c r="S293" s="7">
        <f ca="1">SUM(S$292,IF(S$6=OFFSET(Assumptions!$B$8,0,$C$1),AVERAGE((P$293-P$292)/P$13,(Q$293-Q$292)/Q$13,(R$293-R$292)/R$13),(R$293-R$292)/R$13)*S$13)</f>
        <v>3.5332447127988376</v>
      </c>
      <c r="T293" s="7">
        <f ca="1">SUM(T$292,IF(T$6=OFFSET(Assumptions!$B$8,0,$C$1),AVERAGE((Q$293-Q$292)/Q$13,(R$293-R$292)/R$13,(S$293-S$292)/S$13),(S$293-S$292)/S$13)*T$13)</f>
        <v>3.6460691046346625</v>
      </c>
      <c r="U293" s="7">
        <f ca="1">SUM(U$292,IF(U$6=OFFSET(Assumptions!$B$8,0,$C$1),AVERAGE((R$293-R$292)/R$13,(S$293-S$292)/S$13,(T$293-T$292)/T$13),(T$293-T$292)/T$13)*U$13)</f>
        <v>3.7628810865298465</v>
      </c>
    </row>
    <row r="294" spans="1:21" ht="15" x14ac:dyDescent="0.25">
      <c r="A294" s="2"/>
      <c r="B294" s="4"/>
      <c r="D294" s="39"/>
      <c r="E294" s="39"/>
      <c r="F294" s="39"/>
      <c r="G294" s="38"/>
      <c r="H294" s="38"/>
      <c r="I294" s="38"/>
      <c r="J294" s="38"/>
      <c r="K294" s="38"/>
      <c r="L294" s="7"/>
      <c r="M294" s="7"/>
      <c r="N294" s="7"/>
      <c r="O294" s="7"/>
      <c r="P294" s="7"/>
      <c r="Q294" s="7"/>
      <c r="R294" s="7"/>
      <c r="S294" s="7"/>
      <c r="T294" s="7"/>
      <c r="U294" s="7"/>
    </row>
    <row r="295" spans="1:21" ht="15" x14ac:dyDescent="0.25">
      <c r="A295" s="18" t="s">
        <v>578</v>
      </c>
      <c r="B295" s="4"/>
      <c r="D295" s="39"/>
      <c r="E295" s="39"/>
      <c r="F295" s="39"/>
      <c r="G295" s="38"/>
      <c r="H295" s="38"/>
      <c r="I295" s="38"/>
      <c r="J295" s="38"/>
      <c r="K295" s="38"/>
      <c r="L295" s="7"/>
      <c r="M295" s="7"/>
      <c r="N295" s="7"/>
      <c r="O295" s="7"/>
      <c r="P295" s="7"/>
      <c r="Q295" s="7"/>
      <c r="R295" s="7"/>
      <c r="S295" s="7"/>
      <c r="T295" s="7"/>
      <c r="U295" s="7"/>
    </row>
    <row r="296" spans="1:21" ht="15" x14ac:dyDescent="0.25">
      <c r="A296" s="2" t="s">
        <v>531</v>
      </c>
      <c r="B296" s="4" t="str">
        <f t="shared" si="147"/>
        <v>From Fiscal</v>
      </c>
      <c r="D296" s="39">
        <f>'Fiscal Forecasts'!D$61</f>
        <v>0.66700000000000004</v>
      </c>
      <c r="E296" s="39">
        <f>'Fiscal Forecasts'!E$61</f>
        <v>0.749</v>
      </c>
      <c r="F296" s="39">
        <f>'Fiscal Forecasts'!F$61</f>
        <v>0.64400000000000002</v>
      </c>
      <c r="G296" s="38">
        <f>'Fiscal Forecasts'!G$61</f>
        <v>0.85099999999999998</v>
      </c>
      <c r="H296" s="38">
        <f>'Fiscal Forecasts'!H$61</f>
        <v>0.75600000000000001</v>
      </c>
      <c r="I296" s="38">
        <f>'Fiscal Forecasts'!I$61</f>
        <v>0.72299999999999998</v>
      </c>
      <c r="J296" s="38">
        <f>'Fiscal Forecasts'!J$61</f>
        <v>0.68200000000000005</v>
      </c>
      <c r="K296" s="38">
        <f>'Fiscal Forecasts'!K$61</f>
        <v>0.62</v>
      </c>
      <c r="L296" s="48">
        <f>K$296</f>
        <v>0.62</v>
      </c>
      <c r="M296" s="48">
        <f t="shared" ref="M296:U296" si="149">L$296</f>
        <v>0.62</v>
      </c>
      <c r="N296" s="48">
        <f t="shared" si="149"/>
        <v>0.62</v>
      </c>
      <c r="O296" s="48">
        <f t="shared" si="149"/>
        <v>0.62</v>
      </c>
      <c r="P296" s="48">
        <f t="shared" si="149"/>
        <v>0.62</v>
      </c>
      <c r="Q296" s="48">
        <f t="shared" si="149"/>
        <v>0.62</v>
      </c>
      <c r="R296" s="48">
        <f t="shared" si="149"/>
        <v>0.62</v>
      </c>
      <c r="S296" s="48">
        <f t="shared" si="149"/>
        <v>0.62</v>
      </c>
      <c r="T296" s="48">
        <f t="shared" si="149"/>
        <v>0.62</v>
      </c>
      <c r="U296" s="48">
        <f t="shared" si="149"/>
        <v>0.62</v>
      </c>
    </row>
    <row r="297" spans="1:21" ht="15" x14ac:dyDescent="0.25">
      <c r="A297" s="2" t="s">
        <v>532</v>
      </c>
      <c r="B297" s="4" t="str">
        <f t="shared" si="147"/>
        <v>From Fiscal</v>
      </c>
      <c r="D297" s="39">
        <f>'Fiscal Forecasts'!D$44</f>
        <v>1.74</v>
      </c>
      <c r="E297" s="39">
        <f>'Fiscal Forecasts'!E$44</f>
        <v>1.8520000000000001</v>
      </c>
      <c r="F297" s="39">
        <f>'Fiscal Forecasts'!F$44</f>
        <v>1.8859999999999999</v>
      </c>
      <c r="G297" s="38">
        <f>'Fiscal Forecasts'!G$44</f>
        <v>2.1800000000000002</v>
      </c>
      <c r="H297" s="38">
        <f>'Fiscal Forecasts'!H$44</f>
        <v>2.09</v>
      </c>
      <c r="I297" s="38">
        <f>'Fiscal Forecasts'!I$44</f>
        <v>2.0750000000000002</v>
      </c>
      <c r="J297" s="38">
        <f>'Fiscal Forecasts'!J$44</f>
        <v>2.0369999999999999</v>
      </c>
      <c r="K297" s="38">
        <f>'Fiscal Forecasts'!K$44</f>
        <v>1.958</v>
      </c>
      <c r="L297" s="7">
        <f ca="1">SUM(L$296,IF(L$6=OFFSET(Assumptions!$B$8,0,$C$1),AVERAGE((I$297-I$296)/I$13,(J$297-J$296)/J$13,(K$297-K$296)/K$13),(K$297-K$296)/K$13)*L$13)</f>
        <v>2.096828331627286</v>
      </c>
      <c r="M297" s="7">
        <f ca="1">SUM(M$296,IF(M$6=OFFSET(Assumptions!$B$8,0,$C$1),AVERAGE((J$297-J$296)/J$13,(K$297-K$296)/K$13,(L$297-L$296)/L$13),(L$297-L$296)/L$13)*M$13)</f>
        <v>2.1641656981572996</v>
      </c>
      <c r="N297" s="7">
        <f ca="1">SUM(N$296,IF(N$6=OFFSET(Assumptions!$B$8,0,$C$1),AVERAGE((K$297-K$296)/K$13,(L$297-L$296)/L$13,(M$297-M$296)/M$13),(M$297-M$296)/M$13)*N$13)</f>
        <v>2.2329711109951758</v>
      </c>
      <c r="O297" s="7">
        <f ca="1">SUM(O$296,IF(O$6=OFFSET(Assumptions!$B$8,0,$C$1),AVERAGE((L$297-L$296)/L$13,(M$297-M$296)/M$13,(N$297-N$296)/N$13),(N$297-N$296)/N$13)*O$13)</f>
        <v>2.3035383503679254</v>
      </c>
      <c r="P297" s="7">
        <f ca="1">SUM(P$296,IF(P$6=OFFSET(Assumptions!$B$8,0,$C$1),AVERAGE((M$297-M$296)/M$13,(N$297-N$296)/N$13,(O$297-O$296)/O$13),(O$297-O$296)/O$13)*P$13)</f>
        <v>2.3765019130398817</v>
      </c>
      <c r="Q297" s="7">
        <f ca="1">SUM(Q$296,IF(Q$6=OFFSET(Assumptions!$B$8,0,$C$1),AVERAGE((N$297-N$296)/N$13,(O$297-O$296)/O$13,(P$297-P$296)/P$13),(P$297-P$296)/P$13)*Q$13)</f>
        <v>2.4519780322106746</v>
      </c>
      <c r="R297" s="7">
        <f ca="1">SUM(R$296,IF(R$6=OFFSET(Assumptions!$B$8,0,$C$1),AVERAGE((O$297-O$296)/O$13,(P$297-P$296)/P$13,(Q$297-Q$296)/Q$13),(Q$297-Q$296)/Q$13)*R$13)</f>
        <v>2.5298368386121326</v>
      </c>
      <c r="S297" s="7">
        <f ca="1">SUM(S$296,IF(S$6=OFFSET(Assumptions!$B$8,0,$C$1),AVERAGE((P$297-P$296)/P$13,(Q$297-Q$296)/Q$13,(R$297-R$296)/R$13),(R$297-R$296)/R$13)*S$13)</f>
        <v>2.6103102178769029</v>
      </c>
      <c r="T297" s="7">
        <f ca="1">SUM(T$296,IF(T$6=OFFSET(Assumptions!$B$8,0,$C$1),AVERAGE((Q$297-Q$296)/Q$13,(R$297-R$296)/R$13,(S$297-S$296)/S$13),(S$297-S$296)/S$13)*T$13)</f>
        <v>2.6934713990958583</v>
      </c>
      <c r="U297" s="7">
        <f ca="1">SUM(U$296,IF(U$6=OFFSET(Assumptions!$B$8,0,$C$1),AVERAGE((R$297-R$296)/R$13,(S$297-S$296)/S$13,(T$297-T$296)/T$13),(T$297-T$296)/T$13)*U$13)</f>
        <v>2.7795717736413406</v>
      </c>
    </row>
    <row r="298" spans="1:21" ht="15" x14ac:dyDescent="0.25">
      <c r="A298" s="2"/>
      <c r="B298" s="4"/>
      <c r="D298" s="39"/>
      <c r="E298" s="39"/>
      <c r="F298" s="39"/>
      <c r="G298" s="38"/>
      <c r="H298" s="38"/>
      <c r="I298" s="38"/>
      <c r="J298" s="38"/>
      <c r="K298" s="38"/>
      <c r="L298" s="7"/>
      <c r="M298" s="7"/>
      <c r="N298" s="7"/>
      <c r="O298" s="7"/>
      <c r="P298" s="7"/>
      <c r="Q298" s="7"/>
      <c r="R298" s="7"/>
      <c r="S298" s="7"/>
      <c r="T298" s="7"/>
      <c r="U298" s="7"/>
    </row>
    <row r="299" spans="1:21" ht="15" x14ac:dyDescent="0.25">
      <c r="A299" s="18" t="s">
        <v>579</v>
      </c>
      <c r="B299" s="4"/>
      <c r="D299" s="39"/>
      <c r="E299" s="39"/>
      <c r="F299" s="39"/>
      <c r="G299" s="38"/>
      <c r="H299" s="38"/>
      <c r="I299" s="38"/>
      <c r="J299" s="38"/>
      <c r="K299" s="38"/>
      <c r="L299" s="7"/>
      <c r="M299" s="7"/>
      <c r="N299" s="7"/>
      <c r="O299" s="7"/>
      <c r="P299" s="7"/>
      <c r="Q299" s="7"/>
      <c r="R299" s="7"/>
      <c r="S299" s="7"/>
      <c r="T299" s="7"/>
      <c r="U299" s="7"/>
    </row>
    <row r="300" spans="1:21" ht="15" x14ac:dyDescent="0.25">
      <c r="A300" s="2" t="s">
        <v>533</v>
      </c>
      <c r="B300" s="4" t="str">
        <f t="shared" si="147"/>
        <v>From Fiscal</v>
      </c>
      <c r="D300" s="39">
        <f>'Fiscal Forecasts'!D$62</f>
        <v>0.32</v>
      </c>
      <c r="E300" s="39">
        <f>'Fiscal Forecasts'!E$62</f>
        <v>0.55800000000000005</v>
      </c>
      <c r="F300" s="39">
        <f>'Fiscal Forecasts'!F$62</f>
        <v>0.53900000000000003</v>
      </c>
      <c r="G300" s="38">
        <f>'Fiscal Forecasts'!G$62</f>
        <v>0.60199999999999998</v>
      </c>
      <c r="H300" s="38">
        <f>'Fiscal Forecasts'!H$62</f>
        <v>0.878</v>
      </c>
      <c r="I300" s="38">
        <f>'Fiscal Forecasts'!I$62</f>
        <v>0.60199999999999998</v>
      </c>
      <c r="J300" s="38">
        <f>'Fiscal Forecasts'!J$62</f>
        <v>0.61</v>
      </c>
      <c r="K300" s="38">
        <f>'Fiscal Forecasts'!K$62</f>
        <v>0.64200000000000002</v>
      </c>
      <c r="L300" s="48">
        <f>K$300</f>
        <v>0.64200000000000002</v>
      </c>
      <c r="M300" s="48">
        <f t="shared" ref="M300:U300" si="150">L$300</f>
        <v>0.64200000000000002</v>
      </c>
      <c r="N300" s="48">
        <f t="shared" si="150"/>
        <v>0.64200000000000002</v>
      </c>
      <c r="O300" s="48">
        <f t="shared" si="150"/>
        <v>0.64200000000000002</v>
      </c>
      <c r="P300" s="48">
        <f t="shared" si="150"/>
        <v>0.64200000000000002</v>
      </c>
      <c r="Q300" s="48">
        <f t="shared" si="150"/>
        <v>0.64200000000000002</v>
      </c>
      <c r="R300" s="48">
        <f t="shared" si="150"/>
        <v>0.64200000000000002</v>
      </c>
      <c r="S300" s="48">
        <f t="shared" si="150"/>
        <v>0.64200000000000002</v>
      </c>
      <c r="T300" s="48">
        <f t="shared" si="150"/>
        <v>0.64200000000000002</v>
      </c>
      <c r="U300" s="48">
        <f t="shared" si="150"/>
        <v>0.64200000000000002</v>
      </c>
    </row>
    <row r="301" spans="1:21" ht="15" x14ac:dyDescent="0.25">
      <c r="A301" s="2" t="s">
        <v>534</v>
      </c>
      <c r="B301" s="4" t="str">
        <f t="shared" si="147"/>
        <v>From Fiscal</v>
      </c>
      <c r="D301" s="39">
        <f>'Fiscal Forecasts'!D$45</f>
        <v>1.1140000000000001</v>
      </c>
      <c r="E301" s="39">
        <f>'Fiscal Forecasts'!E$45</f>
        <v>1.6</v>
      </c>
      <c r="F301" s="39">
        <f>'Fiscal Forecasts'!F$45</f>
        <v>1.82</v>
      </c>
      <c r="G301" s="38">
        <f>'Fiscal Forecasts'!G$45</f>
        <v>2.044</v>
      </c>
      <c r="H301" s="38">
        <f>'Fiscal Forecasts'!H$45</f>
        <v>2.3180000000000001</v>
      </c>
      <c r="I301" s="38">
        <f>'Fiscal Forecasts'!I$45</f>
        <v>2.149</v>
      </c>
      <c r="J301" s="38">
        <f>'Fiscal Forecasts'!J$45</f>
        <v>2.286</v>
      </c>
      <c r="K301" s="38">
        <f>'Fiscal Forecasts'!K$45</f>
        <v>2.2749999999999999</v>
      </c>
      <c r="L301" s="7">
        <f ca="1">SUM(L$300,IF(L$6=OFFSET(Assumptions!$B$8,0,$C$1),AVERAGE((I$301-I$300)/I$13,(J$301-J$300)/J$13,(K$301-K$300)/K$13),(K$301-K$300)/K$13)*L$13)</f>
        <v>2.4132252926683333</v>
      </c>
      <c r="M301" s="7">
        <f ca="1">SUM(M$300,IF(M$6=OFFSET(Assumptions!$B$8,0,$C$1),AVERAGE((J$301-J$300)/J$13,(K$301-K$300)/K$13,(L$301-L$300)/L$13),(L$301-L$300)/L$13)*M$13)</f>
        <v>2.4939859634825359</v>
      </c>
      <c r="N301" s="7">
        <f ca="1">SUM(N$300,IF(N$6=OFFSET(Assumptions!$B$8,0,$C$1),AVERAGE((K$301-K$300)/K$13,(L$301-L$300)/L$13,(M$301-M$300)/M$13),(M$301-M$300)/M$13)*N$13)</f>
        <v>2.5765073269213365</v>
      </c>
      <c r="O301" s="7">
        <f ca="1">SUM(O$300,IF(O$6=OFFSET(Assumptions!$B$8,0,$C$1),AVERAGE((L$301-L$300)/L$13,(M$301-M$300)/M$13,(N$301-N$300)/N$13),(N$301-N$300)/N$13)*O$13)</f>
        <v>2.6611417265560391</v>
      </c>
      <c r="P301" s="7">
        <f ca="1">SUM(P$300,IF(P$6=OFFSET(Assumptions!$B$8,0,$C$1),AVERAGE((M$301-M$300)/M$13,(N$301-N$300)/N$13,(O$301-O$300)/O$13),(O$301-O$300)/O$13)*P$13)</f>
        <v>2.748650142314395</v>
      </c>
      <c r="Q301" s="7">
        <f ca="1">SUM(Q$300,IF(Q$6=OFFSET(Assumptions!$B$8,0,$C$1),AVERAGE((N$301-N$300)/N$13,(O$301-O$300)/O$13,(P$301-P$300)/P$13),(P$301-P$300)/P$13)*Q$13)</f>
        <v>2.8391719777943885</v>
      </c>
      <c r="R301" s="7">
        <f ca="1">SUM(R$300,IF(R$6=OFFSET(Assumptions!$B$8,0,$C$1),AVERAGE((O$301-O$300)/O$13,(P$301-P$300)/P$13,(Q$301-Q$300)/Q$13),(Q$301-Q$300)/Q$13)*R$13)</f>
        <v>2.9325514750601775</v>
      </c>
      <c r="S301" s="7">
        <f ca="1">SUM(S$300,IF(S$6=OFFSET(Assumptions!$B$8,0,$C$1),AVERAGE((P$301-P$300)/P$13,(Q$301-Q$300)/Q$13,(R$301-R$300)/R$13),(R$301-R$300)/R$13)*S$13)</f>
        <v>3.0290667447687394</v>
      </c>
      <c r="T301" s="7">
        <f ca="1">SUM(T$300,IF(T$6=OFFSET(Assumptions!$B$8,0,$C$1),AVERAGE((Q$301-Q$300)/Q$13,(R$301-R$300)/R$13,(S$301-S$300)/S$13),(S$301-S$300)/S$13)*T$13)</f>
        <v>3.128805613795504</v>
      </c>
      <c r="U301" s="7">
        <f ca="1">SUM(U$300,IF(U$6=OFFSET(Assumptions!$B$8,0,$C$1),AVERAGE((R$301-R$300)/R$13,(S$301-S$300)/S$13,(T$301-T$300)/T$13),(T$301-T$300)/T$13)*U$13)</f>
        <v>3.2320695868905589</v>
      </c>
    </row>
    <row r="302" spans="1:21" ht="15" x14ac:dyDescent="0.25">
      <c r="A302" s="2"/>
      <c r="B302" s="4"/>
      <c r="D302" s="39"/>
      <c r="E302" s="39"/>
      <c r="F302" s="39"/>
      <c r="G302" s="38"/>
      <c r="H302" s="38"/>
      <c r="I302" s="38"/>
      <c r="J302" s="38"/>
      <c r="K302" s="38"/>
      <c r="L302" s="7"/>
      <c r="M302" s="7"/>
      <c r="N302" s="7"/>
      <c r="O302" s="7"/>
      <c r="P302" s="7"/>
      <c r="Q302" s="7"/>
      <c r="R302" s="7"/>
      <c r="S302" s="7"/>
      <c r="T302" s="7"/>
      <c r="U302" s="7"/>
    </row>
    <row r="303" spans="1:21" ht="15" x14ac:dyDescent="0.25">
      <c r="A303" s="18" t="s">
        <v>580</v>
      </c>
      <c r="B303" s="4"/>
      <c r="D303" s="39"/>
      <c r="E303" s="39"/>
      <c r="F303" s="39"/>
      <c r="G303" s="38"/>
      <c r="H303" s="38"/>
      <c r="I303" s="38"/>
      <c r="J303" s="38"/>
      <c r="K303" s="38"/>
      <c r="L303" s="7"/>
      <c r="M303" s="7"/>
      <c r="N303" s="7"/>
      <c r="O303" s="7"/>
      <c r="P303" s="7"/>
      <c r="Q303" s="7"/>
      <c r="R303" s="7"/>
      <c r="S303" s="7"/>
      <c r="T303" s="7"/>
      <c r="U303" s="7"/>
    </row>
    <row r="304" spans="1:21" x14ac:dyDescent="0.2">
      <c r="A304" s="1" t="s">
        <v>1262</v>
      </c>
      <c r="B304" s="4" t="str">
        <f t="shared" si="147"/>
        <v>From Fiscal</v>
      </c>
      <c r="D304" s="49">
        <f>'Fiscal Forecasts'!D$358</f>
        <v>0.13300000000000001</v>
      </c>
      <c r="E304" s="49">
        <f>'Fiscal Forecasts'!E$358</f>
        <v>0.16300000000000001</v>
      </c>
      <c r="F304" s="49">
        <f>'Fiscal Forecasts'!F$358</f>
        <v>0.29499999999999998</v>
      </c>
      <c r="G304" s="15">
        <f>'Fiscal Forecasts'!G$358</f>
        <v>0.78700000000000003</v>
      </c>
      <c r="H304" s="15">
        <f>'Fiscal Forecasts'!H$358</f>
        <v>0.51800000000000002</v>
      </c>
      <c r="I304" s="15">
        <f>'Fiscal Forecasts'!I$358</f>
        <v>0.54200000000000004</v>
      </c>
      <c r="J304" s="15">
        <f>'Fiscal Forecasts'!J$358</f>
        <v>0.54200000000000004</v>
      </c>
      <c r="K304" s="15">
        <f>'Fiscal Forecasts'!K$358</f>
        <v>0.54200000000000004</v>
      </c>
      <c r="L304" s="6">
        <f t="shared" ref="L304:U304" ca="1" si="151">K$304*(1+L$14)</f>
        <v>0.56741835609287561</v>
      </c>
      <c r="M304" s="6">
        <f t="shared" ca="1" si="151"/>
        <v>0.59329032577399821</v>
      </c>
      <c r="N304" s="6">
        <f t="shared" ca="1" si="151"/>
        <v>0.61972633963333446</v>
      </c>
      <c r="O304" s="6">
        <f t="shared" ca="1" si="151"/>
        <v>0.64683927219386939</v>
      </c>
      <c r="P304" s="6">
        <f t="shared" ca="1" si="151"/>
        <v>0.67487290609658723</v>
      </c>
      <c r="Q304" s="6">
        <f t="shared" ca="1" si="151"/>
        <v>0.70387189978258446</v>
      </c>
      <c r="R304" s="6">
        <f t="shared" ca="1" si="151"/>
        <v>0.73378635564015149</v>
      </c>
      <c r="S304" s="6">
        <f t="shared" ca="1" si="151"/>
        <v>0.76470536741272543</v>
      </c>
      <c r="T304" s="6">
        <f t="shared" ca="1" si="151"/>
        <v>0.79665707075390335</v>
      </c>
      <c r="U304" s="6">
        <f t="shared" ca="1" si="151"/>
        <v>0.82973805378850296</v>
      </c>
    </row>
    <row r="305" spans="1:21" x14ac:dyDescent="0.2">
      <c r="A305" s="1" t="s">
        <v>1263</v>
      </c>
      <c r="B305" s="4" t="str">
        <f t="shared" si="147"/>
        <v>From Fiscal</v>
      </c>
      <c r="D305" s="14">
        <f>'Fiscal Forecasts'!D$63-D$304</f>
        <v>0.59</v>
      </c>
      <c r="E305" s="14">
        <f>'Fiscal Forecasts'!E$63-E$304</f>
        <v>0.42399999999999993</v>
      </c>
      <c r="F305" s="14">
        <f>'Fiscal Forecasts'!F$63-F$304</f>
        <v>0.57600000000000007</v>
      </c>
      <c r="G305" s="15">
        <f>'Fiscal Forecasts'!G$63-G$304</f>
        <v>0.49999999999999989</v>
      </c>
      <c r="H305" s="15">
        <f>'Fiscal Forecasts'!H$63-H$304</f>
        <v>0.54</v>
      </c>
      <c r="I305" s="15">
        <f>'Fiscal Forecasts'!I$63-I$304</f>
        <v>0.55899999999999994</v>
      </c>
      <c r="J305" s="15">
        <f>'Fiscal Forecasts'!J$63-J$304</f>
        <v>0.56800000000000006</v>
      </c>
      <c r="K305" s="15">
        <f>'Fiscal Forecasts'!K$63-K$304</f>
        <v>0.56600000000000006</v>
      </c>
      <c r="L305" s="6">
        <f>K$305</f>
        <v>0.56600000000000006</v>
      </c>
      <c r="M305" s="6">
        <f t="shared" ref="M305:U305" si="152">L$305</f>
        <v>0.56600000000000006</v>
      </c>
      <c r="N305" s="6">
        <f t="shared" si="152"/>
        <v>0.56600000000000006</v>
      </c>
      <c r="O305" s="6">
        <f t="shared" si="152"/>
        <v>0.56600000000000006</v>
      </c>
      <c r="P305" s="6">
        <f t="shared" si="152"/>
        <v>0.56600000000000006</v>
      </c>
      <c r="Q305" s="6">
        <f t="shared" si="152"/>
        <v>0.56600000000000006</v>
      </c>
      <c r="R305" s="6">
        <f t="shared" si="152"/>
        <v>0.56600000000000006</v>
      </c>
      <c r="S305" s="6">
        <f t="shared" si="152"/>
        <v>0.56600000000000006</v>
      </c>
      <c r="T305" s="6">
        <f t="shared" si="152"/>
        <v>0.56600000000000006</v>
      </c>
      <c r="U305" s="6">
        <f t="shared" si="152"/>
        <v>0.56600000000000006</v>
      </c>
    </row>
    <row r="306" spans="1:21" ht="15" x14ac:dyDescent="0.25">
      <c r="A306" s="2" t="s">
        <v>535</v>
      </c>
      <c r="B306" s="4"/>
      <c r="D306" s="34">
        <f>SUM(D$304:D$305)</f>
        <v>0.72299999999999998</v>
      </c>
      <c r="E306" s="34">
        <f t="shared" ref="E306:U306" si="153">SUM(E$304:E$305)</f>
        <v>0.58699999999999997</v>
      </c>
      <c r="F306" s="34">
        <f t="shared" si="153"/>
        <v>0.871</v>
      </c>
      <c r="G306" s="33">
        <f t="shared" si="153"/>
        <v>1.2869999999999999</v>
      </c>
      <c r="H306" s="33">
        <f t="shared" si="153"/>
        <v>1.0580000000000001</v>
      </c>
      <c r="I306" s="33">
        <f t="shared" si="153"/>
        <v>1.101</v>
      </c>
      <c r="J306" s="33">
        <f t="shared" si="153"/>
        <v>1.1100000000000001</v>
      </c>
      <c r="K306" s="33">
        <f t="shared" si="153"/>
        <v>1.1080000000000001</v>
      </c>
      <c r="L306" s="37">
        <f t="shared" ca="1" si="153"/>
        <v>1.1334183560928757</v>
      </c>
      <c r="M306" s="37">
        <f t="shared" ca="1" si="153"/>
        <v>1.1592903257739984</v>
      </c>
      <c r="N306" s="37">
        <f t="shared" ca="1" si="153"/>
        <v>1.1857263396333346</v>
      </c>
      <c r="O306" s="37">
        <f t="shared" ca="1" si="153"/>
        <v>1.2128392721938694</v>
      </c>
      <c r="P306" s="37">
        <f t="shared" ca="1" si="153"/>
        <v>1.2408729060965873</v>
      </c>
      <c r="Q306" s="37">
        <f t="shared" ca="1" si="153"/>
        <v>1.2698718997825846</v>
      </c>
      <c r="R306" s="37">
        <f t="shared" ca="1" si="153"/>
        <v>1.2997863556401517</v>
      </c>
      <c r="S306" s="37">
        <f t="shared" ca="1" si="153"/>
        <v>1.3307053674127256</v>
      </c>
      <c r="T306" s="37">
        <f t="shared" ca="1" si="153"/>
        <v>1.3626570707539034</v>
      </c>
      <c r="U306" s="37">
        <f t="shared" ca="1" si="153"/>
        <v>1.3957380537885031</v>
      </c>
    </row>
    <row r="307" spans="1:21" ht="15" x14ac:dyDescent="0.25">
      <c r="A307" s="2" t="s">
        <v>536</v>
      </c>
      <c r="B307" s="4" t="str">
        <f t="shared" si="147"/>
        <v>From Fiscal</v>
      </c>
      <c r="D307" s="39">
        <f>'Fiscal Forecasts'!D$46</f>
        <v>0.61599999999999999</v>
      </c>
      <c r="E307" s="39">
        <f>'Fiscal Forecasts'!E$46</f>
        <v>0.57999999999999996</v>
      </c>
      <c r="F307" s="39">
        <f>'Fiscal Forecasts'!F$46</f>
        <v>0.86299999999999999</v>
      </c>
      <c r="G307" s="38">
        <f>'Fiscal Forecasts'!G$46</f>
        <v>1.286</v>
      </c>
      <c r="H307" s="38">
        <f>'Fiscal Forecasts'!H$46</f>
        <v>1.0569999999999999</v>
      </c>
      <c r="I307" s="38">
        <f>'Fiscal Forecasts'!I$46</f>
        <v>1.1000000000000001</v>
      </c>
      <c r="J307" s="38">
        <f>'Fiscal Forecasts'!J$46</f>
        <v>1.109</v>
      </c>
      <c r="K307" s="38">
        <f>'Fiscal Forecasts'!K$46</f>
        <v>1.1080000000000001</v>
      </c>
      <c r="L307" s="7">
        <f ca="1">L$306</f>
        <v>1.1334183560928757</v>
      </c>
      <c r="M307" s="7">
        <f t="shared" ref="M307:U307" ca="1" si="154">M$306</f>
        <v>1.1592903257739984</v>
      </c>
      <c r="N307" s="7">
        <f t="shared" ca="1" si="154"/>
        <v>1.1857263396333346</v>
      </c>
      <c r="O307" s="7">
        <f t="shared" ca="1" si="154"/>
        <v>1.2128392721938694</v>
      </c>
      <c r="P307" s="7">
        <f t="shared" ca="1" si="154"/>
        <v>1.2408729060965873</v>
      </c>
      <c r="Q307" s="7">
        <f t="shared" ca="1" si="154"/>
        <v>1.2698718997825846</v>
      </c>
      <c r="R307" s="7">
        <f t="shared" ca="1" si="154"/>
        <v>1.2997863556401517</v>
      </c>
      <c r="S307" s="7">
        <f t="shared" ca="1" si="154"/>
        <v>1.3307053674127256</v>
      </c>
      <c r="T307" s="7">
        <f t="shared" ca="1" si="154"/>
        <v>1.3626570707539034</v>
      </c>
      <c r="U307" s="7">
        <f t="shared" ca="1" si="154"/>
        <v>1.3957380537885031</v>
      </c>
    </row>
    <row r="308" spans="1:21" ht="15" x14ac:dyDescent="0.25">
      <c r="A308" s="2"/>
      <c r="B308" s="4"/>
      <c r="D308" s="39"/>
      <c r="E308" s="39"/>
      <c r="F308" s="39"/>
      <c r="G308" s="38"/>
      <c r="H308" s="38"/>
      <c r="I308" s="38"/>
      <c r="J308" s="38"/>
      <c r="K308" s="38"/>
      <c r="L308" s="7"/>
      <c r="M308" s="7"/>
      <c r="N308" s="7"/>
      <c r="O308" s="7"/>
      <c r="P308" s="7"/>
      <c r="Q308" s="7"/>
      <c r="R308" s="7"/>
      <c r="S308" s="7"/>
      <c r="T308" s="7"/>
      <c r="U308" s="7"/>
    </row>
    <row r="309" spans="1:21" ht="15" x14ac:dyDescent="0.25">
      <c r="A309" s="18" t="s">
        <v>581</v>
      </c>
      <c r="B309" s="4"/>
      <c r="D309" s="39"/>
      <c r="E309" s="39"/>
      <c r="F309" s="39"/>
      <c r="G309" s="38"/>
      <c r="H309" s="38"/>
      <c r="I309" s="38"/>
      <c r="J309" s="38"/>
      <c r="K309" s="38"/>
      <c r="L309" s="7"/>
      <c r="M309" s="7"/>
      <c r="N309" s="7"/>
      <c r="O309" s="7"/>
      <c r="P309" s="7"/>
      <c r="Q309" s="7"/>
      <c r="R309" s="7"/>
      <c r="S309" s="7"/>
      <c r="T309" s="7"/>
      <c r="U309" s="7"/>
    </row>
    <row r="310" spans="1:21" ht="15" x14ac:dyDescent="0.25">
      <c r="A310" s="2" t="s">
        <v>537</v>
      </c>
      <c r="B310" s="4" t="str">
        <f t="shared" si="147"/>
        <v>From Fiscal</v>
      </c>
      <c r="D310" s="39">
        <f>'Fiscal Forecasts'!D$65</f>
        <v>0.14499999999999999</v>
      </c>
      <c r="E310" s="39">
        <f>'Fiscal Forecasts'!E$65</f>
        <v>0.46100000000000002</v>
      </c>
      <c r="F310" s="39">
        <f>'Fiscal Forecasts'!F$65</f>
        <v>0.18099999999999999</v>
      </c>
      <c r="G310" s="38">
        <f>'Fiscal Forecasts'!G$65</f>
        <v>0.34</v>
      </c>
      <c r="H310" s="38">
        <f>'Fiscal Forecasts'!H$65</f>
        <v>0.55200000000000005</v>
      </c>
      <c r="I310" s="38">
        <f>'Fiscal Forecasts'!I$65</f>
        <v>0.35199999999999998</v>
      </c>
      <c r="J310" s="38">
        <f>'Fiscal Forecasts'!J$65</f>
        <v>0.34399999999999997</v>
      </c>
      <c r="K310" s="38">
        <f>'Fiscal Forecasts'!K$65</f>
        <v>0.34399999999999997</v>
      </c>
      <c r="L310" s="7">
        <f ca="1">IF(L$6=OFFSET(Assumptions!$B$8,0,$C$1),0,K$310)</f>
        <v>0</v>
      </c>
      <c r="M310" s="7">
        <f ca="1">IF(M$6=OFFSET(Assumptions!$B$8,0,$C$1),0,L$310)</f>
        <v>0</v>
      </c>
      <c r="N310" s="7">
        <f ca="1">IF(N$6=OFFSET(Assumptions!$B$8,0,$C$1),0,M$310)</f>
        <v>0</v>
      </c>
      <c r="O310" s="7">
        <f ca="1">IF(O$6=OFFSET(Assumptions!$B$8,0,$C$1),0,N$310)</f>
        <v>0</v>
      </c>
      <c r="P310" s="7">
        <f ca="1">IF(P$6=OFFSET(Assumptions!$B$8,0,$C$1),0,O$310)</f>
        <v>0</v>
      </c>
      <c r="Q310" s="7">
        <f ca="1">IF(Q$6=OFFSET(Assumptions!$B$8,0,$C$1),0,P$310)</f>
        <v>0</v>
      </c>
      <c r="R310" s="7">
        <f ca="1">IF(R$6=OFFSET(Assumptions!$B$8,0,$C$1),0,Q$310)</f>
        <v>0</v>
      </c>
      <c r="S310" s="7">
        <f ca="1">IF(S$6=OFFSET(Assumptions!$B$8,0,$C$1),0,R$310)</f>
        <v>0</v>
      </c>
      <c r="T310" s="7">
        <f ca="1">IF(T$6=OFFSET(Assumptions!$B$8,0,$C$1),0,S$310)</f>
        <v>0</v>
      </c>
      <c r="U310" s="7">
        <f ca="1">IF(U$6=OFFSET(Assumptions!$B$8,0,$C$1),0,T$310)</f>
        <v>0</v>
      </c>
    </row>
    <row r="311" spans="1:21" ht="15" x14ac:dyDescent="0.25">
      <c r="A311" s="2" t="s">
        <v>538</v>
      </c>
      <c r="B311" s="4" t="str">
        <f t="shared" si="147"/>
        <v>From Fiscal</v>
      </c>
      <c r="D311" s="39">
        <f>'Fiscal Forecasts'!D$48</f>
        <v>0.14499999999999999</v>
      </c>
      <c r="E311" s="39">
        <f>'Fiscal Forecasts'!E$48</f>
        <v>0.46100000000000002</v>
      </c>
      <c r="F311" s="39">
        <f>'Fiscal Forecasts'!F$48</f>
        <v>0.18099999999999999</v>
      </c>
      <c r="G311" s="38">
        <f>'Fiscal Forecasts'!G$48</f>
        <v>0.34</v>
      </c>
      <c r="H311" s="38">
        <f>'Fiscal Forecasts'!H$48</f>
        <v>0.55200000000000005</v>
      </c>
      <c r="I311" s="38">
        <f>'Fiscal Forecasts'!I$48</f>
        <v>0.35199999999999998</v>
      </c>
      <c r="J311" s="38">
        <f>'Fiscal Forecasts'!J$48</f>
        <v>0.34399999999999997</v>
      </c>
      <c r="K311" s="38">
        <f>'Fiscal Forecasts'!K$48</f>
        <v>0.34399999999999997</v>
      </c>
      <c r="L311" s="7">
        <f ca="1">IF(L$6=OFFSET(Assumptions!$B$8,0,$C$1),0,K$311)</f>
        <v>0</v>
      </c>
      <c r="M311" s="7">
        <f ca="1">IF(M$6=OFFSET(Assumptions!$B$8,0,$C$1),0,L$311)</f>
        <v>0</v>
      </c>
      <c r="N311" s="7">
        <f ca="1">IF(N$6=OFFSET(Assumptions!$B$8,0,$C$1),0,M$311)</f>
        <v>0</v>
      </c>
      <c r="O311" s="7">
        <f ca="1">IF(O$6=OFFSET(Assumptions!$B$8,0,$C$1),0,N$311)</f>
        <v>0</v>
      </c>
      <c r="P311" s="7">
        <f ca="1">IF(P$6=OFFSET(Assumptions!$B$8,0,$C$1),0,O$311)</f>
        <v>0</v>
      </c>
      <c r="Q311" s="7">
        <f ca="1">IF(Q$6=OFFSET(Assumptions!$B$8,0,$C$1),0,P$311)</f>
        <v>0</v>
      </c>
      <c r="R311" s="7">
        <f ca="1">IF(R$6=OFFSET(Assumptions!$B$8,0,$C$1),0,Q$311)</f>
        <v>0</v>
      </c>
      <c r="S311" s="7">
        <f ca="1">IF(S$6=OFFSET(Assumptions!$B$8,0,$C$1),0,R$311)</f>
        <v>0</v>
      </c>
      <c r="T311" s="7">
        <f ca="1">IF(T$6=OFFSET(Assumptions!$B$8,0,$C$1),0,S$311)</f>
        <v>0</v>
      </c>
      <c r="U311" s="7">
        <f ca="1">IF(U$6=OFFSET(Assumptions!$B$8,0,$C$1),0,T$311)</f>
        <v>0</v>
      </c>
    </row>
    <row r="312" spans="1:21" ht="15" x14ac:dyDescent="0.25">
      <c r="A312" s="2"/>
      <c r="B312" s="4"/>
      <c r="D312" s="39"/>
      <c r="E312" s="39"/>
      <c r="F312" s="39"/>
      <c r="G312" s="38"/>
      <c r="H312" s="38"/>
      <c r="I312" s="38"/>
      <c r="J312" s="38"/>
      <c r="K312" s="38"/>
      <c r="L312" s="7"/>
      <c r="M312" s="7"/>
      <c r="N312" s="7"/>
      <c r="O312" s="7"/>
      <c r="P312" s="7"/>
      <c r="Q312" s="7"/>
      <c r="R312" s="7"/>
      <c r="S312" s="7"/>
      <c r="T312" s="7"/>
      <c r="U312" s="7"/>
    </row>
    <row r="313" spans="1:21" ht="15" x14ac:dyDescent="0.25">
      <c r="A313" s="18" t="s">
        <v>1219</v>
      </c>
      <c r="B313" s="4"/>
      <c r="D313" s="39"/>
      <c r="E313" s="39"/>
      <c r="F313" s="39"/>
      <c r="G313" s="38"/>
      <c r="H313" s="38"/>
      <c r="I313" s="38"/>
      <c r="J313" s="38"/>
      <c r="K313" s="38"/>
      <c r="L313" s="7"/>
      <c r="M313" s="7"/>
      <c r="N313" s="7"/>
      <c r="O313" s="7"/>
      <c r="P313" s="7"/>
      <c r="Q313" s="7"/>
      <c r="R313" s="7"/>
      <c r="S313" s="7"/>
      <c r="T313" s="7"/>
      <c r="U313" s="7"/>
    </row>
    <row r="314" spans="1:21" ht="15" x14ac:dyDescent="0.25">
      <c r="A314" s="2" t="s">
        <v>1220</v>
      </c>
      <c r="B314" s="4"/>
      <c r="D314" s="39">
        <f t="shared" ref="D314:U314" si="155">SUM(D$184,D$247,D$255,D$265,D$270,D$274,D$287,D$292,D$296,D$300,D$306)</f>
        <v>40.115000000000002</v>
      </c>
      <c r="E314" s="39">
        <f t="shared" si="155"/>
        <v>41.5</v>
      </c>
      <c r="F314" s="39">
        <f t="shared" si="155"/>
        <v>43.639000000000003</v>
      </c>
      <c r="G314" s="38">
        <f t="shared" si="155"/>
        <v>47.581999999999987</v>
      </c>
      <c r="H314" s="38">
        <f t="shared" si="155"/>
        <v>49.643000000000008</v>
      </c>
      <c r="I314" s="38">
        <f t="shared" si="155"/>
        <v>49.05</v>
      </c>
      <c r="J314" s="38">
        <f t="shared" si="155"/>
        <v>49.241</v>
      </c>
      <c r="K314" s="38">
        <f t="shared" si="155"/>
        <v>49.18099999999999</v>
      </c>
      <c r="L314" s="48">
        <f t="shared" ca="1" si="155"/>
        <v>49.206418356092868</v>
      </c>
      <c r="M314" s="48">
        <f t="shared" ca="1" si="155"/>
        <v>49.232290325773988</v>
      </c>
      <c r="N314" s="48">
        <f t="shared" ca="1" si="155"/>
        <v>49.258726339633327</v>
      </c>
      <c r="O314" s="48">
        <f t="shared" ca="1" si="155"/>
        <v>49.285839272193861</v>
      </c>
      <c r="P314" s="48">
        <f t="shared" ca="1" si="155"/>
        <v>49.313872906096577</v>
      </c>
      <c r="Q314" s="48">
        <f t="shared" ca="1" si="155"/>
        <v>49.34287189978258</v>
      </c>
      <c r="R314" s="48">
        <f t="shared" ca="1" si="155"/>
        <v>49.372786355640145</v>
      </c>
      <c r="S314" s="48">
        <f t="shared" ca="1" si="155"/>
        <v>49.403705367412719</v>
      </c>
      <c r="T314" s="48">
        <f t="shared" ca="1" si="155"/>
        <v>49.435657070753898</v>
      </c>
      <c r="U314" s="48">
        <f t="shared" ca="1" si="155"/>
        <v>49.468738053788499</v>
      </c>
    </row>
    <row r="315" spans="1:21" ht="15" x14ac:dyDescent="0.25">
      <c r="A315" s="2" t="s">
        <v>1313</v>
      </c>
      <c r="B315" s="4"/>
      <c r="D315" s="39">
        <f>SUM(D$247,D$254,D$255,D$262,D$264,D$278,D$310)</f>
        <v>30.933000000000003</v>
      </c>
      <c r="E315" s="39">
        <f>SUM(E$247,E$254,E$255,E$262,E$264,E$278,E$310)</f>
        <v>31.755000000000003</v>
      </c>
      <c r="F315" s="39">
        <f>SUM(F$247,F$254,F$255,F$262,F$264,F$278,F$310)</f>
        <v>32.116</v>
      </c>
      <c r="G315" s="38">
        <f t="shared" ref="G315:U315" si="156">SUM(G$247,G$254,G$255,G$262,G$264,G$278,G$310)</f>
        <v>34.286999999999999</v>
      </c>
      <c r="H315" s="38">
        <f t="shared" si="156"/>
        <v>36.212000000000003</v>
      </c>
      <c r="I315" s="38">
        <f t="shared" si="156"/>
        <v>36.052000000000007</v>
      </c>
      <c r="J315" s="38">
        <f t="shared" si="156"/>
        <v>36.628000000000007</v>
      </c>
      <c r="K315" s="38">
        <f t="shared" si="156"/>
        <v>36.51</v>
      </c>
      <c r="L315" s="48">
        <f t="shared" ca="1" si="156"/>
        <v>36.713907844190359</v>
      </c>
      <c r="M315" s="48">
        <f t="shared" ca="1" si="156"/>
        <v>37.194873353597451</v>
      </c>
      <c r="N315" s="48">
        <f t="shared" ca="1" si="156"/>
        <v>37.436512608657907</v>
      </c>
      <c r="O315" s="48">
        <f t="shared" ca="1" si="156"/>
        <v>37.685340368855336</v>
      </c>
      <c r="P315" s="48">
        <f t="shared" ca="1" si="156"/>
        <v>37.945110405629087</v>
      </c>
      <c r="Q315" s="48">
        <f t="shared" ca="1" si="156"/>
        <v>38.206528972380319</v>
      </c>
      <c r="R315" s="48">
        <f t="shared" ca="1" si="156"/>
        <v>38.473560394065835</v>
      </c>
      <c r="S315" s="48">
        <f t="shared" ca="1" si="156"/>
        <v>38.747415403018998</v>
      </c>
      <c r="T315" s="48">
        <f t="shared" ca="1" si="156"/>
        <v>39.029439609053547</v>
      </c>
      <c r="U315" s="48">
        <f t="shared" ca="1" si="156"/>
        <v>39.319366544479813</v>
      </c>
    </row>
    <row r="316" spans="1:21" ht="15" x14ac:dyDescent="0.25">
      <c r="A316" s="18" t="s">
        <v>539</v>
      </c>
      <c r="B316" s="4"/>
      <c r="D316" s="39"/>
      <c r="E316" s="39"/>
      <c r="F316" s="39"/>
      <c r="G316" s="38"/>
      <c r="H316" s="38"/>
      <c r="I316" s="38"/>
      <c r="J316" s="38"/>
      <c r="K316" s="38"/>
      <c r="L316" s="7"/>
      <c r="M316" s="7"/>
      <c r="N316" s="7"/>
      <c r="O316" s="7"/>
      <c r="P316" s="7"/>
      <c r="Q316" s="7"/>
      <c r="R316" s="7"/>
      <c r="S316" s="7"/>
      <c r="T316" s="7"/>
      <c r="U316" s="7"/>
    </row>
    <row r="317" spans="1:21" ht="15" x14ac:dyDescent="0.25">
      <c r="A317" s="2" t="s">
        <v>1198</v>
      </c>
      <c r="B317" s="4" t="str">
        <f t="shared" si="147"/>
        <v>From Fiscal</v>
      </c>
      <c r="D317" s="39">
        <f>'Fiscal Forecasts'!D$197</f>
        <v>4.8250000000000002</v>
      </c>
      <c r="E317" s="39">
        <f>'Fiscal Forecasts'!E$197</f>
        <v>5.6840000000000002</v>
      </c>
      <c r="F317" s="39">
        <f>'Fiscal Forecasts'!F$197</f>
        <v>6.4420000000000002</v>
      </c>
      <c r="G317" s="38">
        <f>'Fiscal Forecasts'!G$197</f>
        <v>6.4039999999999999</v>
      </c>
      <c r="H317" s="38">
        <f>'Fiscal Forecasts'!H$197</f>
        <v>6.54</v>
      </c>
      <c r="I317" s="38">
        <f>'Fiscal Forecasts'!I$197</f>
        <v>6.7389999999999999</v>
      </c>
      <c r="J317" s="38">
        <f>'Fiscal Forecasts'!J$197</f>
        <v>7.04</v>
      </c>
      <c r="K317" s="38">
        <f>'Fiscal Forecasts'!K$197</f>
        <v>6.9370000000000003</v>
      </c>
      <c r="L317" s="7">
        <f ca="1">IF(L$6=OFFSET(Assumptions!$B$8,0,$C$1),AVERAGE(I$317/SUM(I$244-I$243,I$267-I$266,I$271-I$270,I$275-I$274,I$293-I$292,I$297-I$296,I$301-I$300,I$307-I$306),J$317/SUM(J$244-J$243,J$267-J$266,J$271-J$270,J$275-J$274,J$293-J$292,J$297-J$296,J$301-J$300,J$307-J$306),K$317/SUM(K$244-K$243,K$267-K$266,K$271-K$270,K$275-K$274,K$293-K$292,K$297-K$296,K$301-K$300,K$307-K$306)),K$317/SUM(K$244-K$243,K$267-K$266,K$271-K$270,K$275-K$274,K$293-K$292,K$297-K$296,K$301-K$300,K$307-K$306))*SUM(L$244-L$243,L$267-L$266,L$271-L$270,L$275-L$274,L$293-L$292,L$297-L$296,L$301-L$300,L$307-L$306)</f>
        <v>7.5451160797426873</v>
      </c>
      <c r="M317" s="7">
        <f ca="1">IF(M$6=OFFSET(Assumptions!$B$8,0,$C$1),AVERAGE(J$317/SUM(J$244-J$243,J$267-J$266,J$271-J$270,J$275-J$274,J$293-J$292,J$297-J$296,J$301-J$300,J$307-J$306),K$317/SUM(K$244-K$243,K$267-K$266,K$271-K$270,K$275-K$274,K$293-K$292,K$297-K$296,K$301-K$300,K$307-K$306),L$317/SUM(L$244-L$243,L$267-L$266,L$271-L$270,L$275-L$274,L$293-L$292,L$297-L$296,L$301-L$300,L$307-L$306)),L$317/SUM(L$244-L$243,L$267-L$266,L$271-L$270,L$275-L$274,L$293-L$292,L$297-L$296,L$301-L$300,L$307-L$306))*SUM(M$244-M$243,M$267-M$266,M$271-M$270,M$275-M$274,M$293-M$292,M$297-M$296,M$301-M$300,M$307-M$306)</f>
        <v>7.8739823487010714</v>
      </c>
      <c r="N317" s="7">
        <f ca="1">IF(N$6=OFFSET(Assumptions!$B$8,0,$C$1),AVERAGE(K$317/SUM(K$244-K$243,K$267-K$266,K$271-K$270,K$275-K$274,K$293-K$292,K$297-K$296,K$301-K$300,K$307-K$306),L$317/SUM(L$244-L$243,L$267-L$266,L$271-L$270,L$275-L$274,L$293-L$292,L$297-L$296,L$301-L$300,L$307-L$306),M$317/SUM(M$244-M$243,M$267-M$266,M$271-M$270,M$275-M$274,M$293-M$292,M$297-M$296,M$301-M$300,M$307-M$306)),M$317/SUM(M$244-M$243,M$267-M$266,M$271-M$270,M$275-M$274,M$293-M$292,M$297-M$296,M$301-M$300,M$307-M$306))*SUM(N$244-N$243,N$267-N$266,N$271-N$270,N$275-N$274,N$293-N$292,N$297-N$296,N$301-N$300,N$307-N$306)</f>
        <v>8.2099723104976565</v>
      </c>
      <c r="O317" s="7">
        <f ca="1">IF(O$6=OFFSET(Assumptions!$B$8,0,$C$1),AVERAGE(L$317/SUM(L$244-L$243,L$267-L$266,L$271-L$270,L$275-L$274,L$293-L$292,L$297-L$296,L$301-L$300,L$307-L$306),M$317/SUM(M$244-M$243,M$267-M$266,M$271-M$270,M$275-M$274,M$293-M$292,M$297-M$296,M$301-M$300,M$307-M$306),N$317/SUM(N$244-N$243,N$267-N$266,N$271-N$270,N$275-N$274,N$293-N$292,N$297-N$296,N$301-N$300,N$307-N$306)),N$317/SUM(N$244-N$243,N$267-N$266,N$271-N$270,N$275-N$274,N$293-N$292,N$297-N$296,N$301-N$300,N$307-N$306))*SUM(O$244-O$243,O$267-O$266,O$271-O$270,O$275-O$274,O$293-O$292,O$297-O$296,O$301-O$300,O$307-O$306)</f>
        <v>8.5545633944533073</v>
      </c>
      <c r="P317" s="7">
        <f ca="1">IF(P$6=OFFSET(Assumptions!$B$8,0,$C$1),AVERAGE(M$317/SUM(M$244-M$243,M$267-M$266,M$271-M$270,M$275-M$274,M$293-M$292,M$297-M$296,M$301-M$300,M$307-M$306),N$317/SUM(N$244-N$243,N$267-N$266,N$271-N$270,N$275-N$274,N$293-N$292,N$297-N$296,N$301-N$300,N$307-N$306),O$317/SUM(O$244-O$243,O$267-O$266,O$271-O$270,O$275-O$274,O$293-O$292,O$297-O$296,O$301-O$300,O$307-O$306)),O$317/SUM(O$244-O$243,O$267-O$266,O$271-O$270,O$275-O$274,O$293-O$292,O$297-O$296,O$301-O$300,O$307-O$306))*SUM(P$244-P$243,P$267-P$266,P$271-P$270,P$275-P$274,P$293-P$292,P$297-P$296,P$301-P$300,P$307-P$306)</f>
        <v>8.9108099589356495</v>
      </c>
      <c r="Q317" s="7">
        <f ca="1">IF(Q$6=OFFSET(Assumptions!$B$8,0,$C$1),AVERAGE(N$317/SUM(N$244-N$243,N$267-N$266,N$271-N$270,N$275-N$274,N$293-N$292,N$297-N$296,N$301-N$300,N$307-N$306),O$317/SUM(O$244-O$243,O$267-O$266,O$271-O$270,O$275-O$274,O$293-O$292,O$297-O$296,O$301-O$300,O$307-O$306),P$317/SUM(P$244-P$243,P$267-P$266,P$271-P$270,P$275-P$274,P$293-P$292,P$297-P$296,P$301-P$300,P$307-P$306)),P$317/SUM(P$244-P$243,P$267-P$266,P$271-P$270,P$275-P$274,P$293-P$292,P$297-P$296,P$301-P$300,P$307-P$306))*SUM(Q$244-Q$243,Q$267-Q$266,Q$271-Q$270,Q$275-Q$274,Q$293-Q$292,Q$297-Q$296,Q$301-Q$300,Q$307-Q$306)</f>
        <v>9.2790633797097879</v>
      </c>
      <c r="R317" s="7">
        <f ca="1">IF(R$6=OFFSET(Assumptions!$B$8,0,$C$1),AVERAGE(O$317/SUM(O$244-O$243,O$267-O$266,O$271-O$270,O$275-O$274,O$293-O$292,O$297-O$296,O$301-O$300,O$307-O$306),P$317/SUM(P$244-P$243,P$267-P$266,P$271-P$270,P$275-P$274,P$293-P$292,P$297-P$296,P$301-P$300,P$307-P$306),Q$317/SUM(Q$244-Q$243,Q$267-Q$266,Q$271-Q$270,Q$275-Q$274,Q$293-Q$292,Q$297-Q$296,Q$301-Q$300,Q$307-Q$306)),Q$317/SUM(Q$244-Q$243,Q$267-Q$266,Q$271-Q$270,Q$275-Q$274,Q$293-Q$292,Q$297-Q$296,Q$301-Q$300,Q$307-Q$306))*SUM(R$244-R$243,R$267-R$266,R$271-R$270,R$275-R$274,R$293-R$292,R$297-R$296,R$301-R$300,R$307-R$306)</f>
        <v>9.6584735763546963</v>
      </c>
      <c r="S317" s="7">
        <f ca="1">IF(S$6=OFFSET(Assumptions!$B$8,0,$C$1),AVERAGE(P$317/SUM(P$244-P$243,P$267-P$266,P$271-P$270,P$275-P$274,P$293-P$292,P$297-P$296,P$301-P$300,P$307-P$306),Q$317/SUM(Q$244-Q$243,Q$267-Q$266,Q$271-Q$270,Q$275-Q$274,Q$293-Q$292,Q$297-Q$296,Q$301-Q$300,Q$307-Q$306),R$317/SUM(R$244-R$243,R$267-R$266,R$271-R$270,R$275-R$274,R$293-R$292,R$297-R$296,R$301-R$300,R$307-R$306)),R$317/SUM(R$244-R$243,R$267-R$266,R$271-R$270,R$275-R$274,R$293-R$292,R$297-R$296,R$301-R$300,R$307-R$306))*SUM(S$244-S$243,S$267-S$266,S$271-S$270,S$275-S$274,S$293-S$292,S$297-S$296,S$301-S$300,S$307-S$306)</f>
        <v>10.050691160506229</v>
      </c>
      <c r="T317" s="7">
        <f ca="1">IF(T$6=OFFSET(Assumptions!$B$8,0,$C$1),AVERAGE(Q$317/SUM(Q$244-Q$243,Q$267-Q$266,Q$271-Q$270,Q$275-Q$274,Q$293-Q$292,Q$297-Q$296,Q$301-Q$300,Q$307-Q$306),R$317/SUM(R$244-R$243,R$267-R$266,R$271-R$270,R$275-R$274,R$293-R$292,R$297-R$296,R$301-R$300,R$307-R$306),S$317/SUM(S$244-S$243,S$267-S$266,S$271-S$270,S$275-S$274,S$293-S$292,S$297-S$296,S$301-S$300,S$307-S$306)),S$317/SUM(S$244-S$243,S$267-S$266,S$271-S$270,S$275-S$274,S$293-S$292,S$297-S$296,S$301-S$300,S$307-S$306))*SUM(T$244-T$243,T$267-T$266,T$271-T$270,T$275-T$274,T$293-T$292,T$297-T$296,T$301-T$300,T$307-T$306)</f>
        <v>10.455943991529015</v>
      </c>
      <c r="U317" s="7">
        <f ca="1">IF(U$6=OFFSET(Assumptions!$B$8,0,$C$1),AVERAGE(R$317/SUM(R$244-R$243,R$267-R$266,R$271-R$270,R$275-R$274,R$293-R$292,R$297-R$296,R$301-R$300,R$307-R$306),S$317/SUM(S$244-S$243,S$267-S$266,S$271-S$270,S$275-S$274,S$293-S$292,S$297-S$296,S$301-S$300,S$307-S$306),T$317/SUM(T$244-T$243,T$267-T$266,T$271-T$270,T$275-T$274,T$293-T$292,T$297-T$296,T$301-T$300,T$307-T$306)),T$317/SUM(T$244-T$243,T$267-T$266,T$271-T$270,T$275-T$274,T$293-T$292,T$297-T$296,T$301-T$300,T$307-T$306))*SUM(U$244-U$243,U$267-U$266,U$271-U$270,U$275-U$274,U$293-U$292,U$297-U$296,U$301-U$300,U$307-U$306)</f>
        <v>10.875545772547824</v>
      </c>
    </row>
    <row r="318" spans="1:21" ht="15" x14ac:dyDescent="0.25">
      <c r="A318" s="2" t="s">
        <v>540</v>
      </c>
      <c r="B318" s="4" t="str">
        <f t="shared" si="147"/>
        <v>From Fiscal</v>
      </c>
      <c r="D318" s="39">
        <f>'Fiscal Forecasts'!D$198</f>
        <v>7.01</v>
      </c>
      <c r="E318" s="39">
        <f>'Fiscal Forecasts'!E$198</f>
        <v>5.9950000000000001</v>
      </c>
      <c r="F318" s="39">
        <f>'Fiscal Forecasts'!F$198</f>
        <v>6.6210000000000004</v>
      </c>
      <c r="G318" s="38">
        <f>'Fiscal Forecasts'!G$198</f>
        <v>7.6070000000000002</v>
      </c>
      <c r="H318" s="38">
        <f>'Fiscal Forecasts'!H$198</f>
        <v>7.431</v>
      </c>
      <c r="I318" s="38">
        <f>'Fiscal Forecasts'!I$198</f>
        <v>7.7779999999999996</v>
      </c>
      <c r="J318" s="38">
        <f>'Fiscal Forecasts'!J$198</f>
        <v>7.8760000000000003</v>
      </c>
      <c r="K318" s="38">
        <f>'Fiscal Forecasts'!K$198</f>
        <v>8.0630000000000006</v>
      </c>
      <c r="L318" s="7">
        <f ca="1">IF(L$6=OFFSET(Assumptions!$B$8,0,$C$1),AVERAGE(I$318/(I$289-I$288),J$318/(J$289-J$288),K$318/(K$289-K$288)),K$318/(K$289-K$288))*(L$289-L$288)</f>
        <v>8.6523013319594853</v>
      </c>
      <c r="M318" s="7">
        <f ca="1">IF(M$6=OFFSET(Assumptions!$B$8,0,$C$1),AVERAGE(J$318/(J$289-J$288),K$318/(K$289-K$288),L$318/(L$289-L$288)),L$318/(L$289-L$288))*(M$289-M$288)</f>
        <v>9.0468110888763942</v>
      </c>
      <c r="N318" s="7">
        <f ca="1">IF(N$6=OFFSET(Assumptions!$B$8,0,$C$1),AVERAGE(K$318/(K$289-K$288),L$318/(L$289-L$288),M$318/(M$289-M$288)),M$318/(M$289-M$288))*(N$289-N$288)</f>
        <v>9.449921695839901</v>
      </c>
      <c r="O318" s="7">
        <f ca="1">IF(O$6=OFFSET(Assumptions!$B$8,0,$C$1),AVERAGE(L$318/(L$289-L$288),M$318/(M$289-M$288),N$318/(N$289-N$288)),N$318/(N$289-N$288))*(O$289-O$288)</f>
        <v>9.8633543244953739</v>
      </c>
      <c r="P318" s="7">
        <f ca="1">IF(P$6=OFFSET(Assumptions!$B$8,0,$C$1),AVERAGE(M$318/(M$289-M$288),N$318/(N$289-N$288),O$318/(O$289-O$288)),O$318/(O$289-O$288))*(P$289-P$288)</f>
        <v>10.290826304123131</v>
      </c>
      <c r="Q318" s="7">
        <f ca="1">IF(Q$6=OFFSET(Assumptions!$B$8,0,$C$1),AVERAGE(N$318/(N$289-N$288),O$318/(O$289-O$288),P$318/(P$289-P$288)),P$318/(P$289-P$288))*(Q$289-Q$288)</f>
        <v>10.733018610735376</v>
      </c>
      <c r="R318" s="7">
        <f ca="1">IF(R$6=OFFSET(Assumptions!$B$8,0,$C$1),AVERAGE(O$318/(O$289-O$288),P$318/(P$289-P$288),Q$318/(Q$289-Q$288)),Q$318/(Q$289-Q$288))*(R$289-R$288)</f>
        <v>11.189170378618799</v>
      </c>
      <c r="S318" s="7">
        <f ca="1">IF(S$6=OFFSET(Assumptions!$B$8,0,$C$1),AVERAGE(P$318/(P$289-P$288),Q$318/(Q$289-Q$288),R$318/(R$289-R$288)),R$318/(R$289-R$288))*(S$289-S$288)</f>
        <v>11.660640157257619</v>
      </c>
      <c r="T318" s="7">
        <f ca="1">IF(T$6=OFFSET(Assumptions!$B$8,0,$C$1),AVERAGE(Q$318/(Q$289-Q$288),R$318/(R$289-R$288),S$318/(S$289-S$288)),S$318/(S$289-S$288))*(T$289-T$288)</f>
        <v>12.147856974282824</v>
      </c>
      <c r="U318" s="7">
        <f ca="1">IF(U$6=OFFSET(Assumptions!$B$8,0,$C$1),AVERAGE(R$318/(R$289-R$288),S$318/(S$289-S$288),T$318/(T$289-T$288)),T$318/(T$289-T$288))*(U$289-U$288)</f>
        <v>12.652293657550693</v>
      </c>
    </row>
    <row r="319" spans="1:21" ht="15" x14ac:dyDescent="0.25">
      <c r="A319" s="2" t="s">
        <v>541</v>
      </c>
      <c r="B319" s="4" t="str">
        <f t="shared" si="147"/>
        <v>From Fiscal</v>
      </c>
      <c r="D319" s="39">
        <f>'Fiscal Forecasts'!D$199</f>
        <v>-2.698</v>
      </c>
      <c r="E319" s="39">
        <f>'Fiscal Forecasts'!E$199</f>
        <v>-2.7010000000000001</v>
      </c>
      <c r="F319" s="39">
        <f>'Fiscal Forecasts'!F$199</f>
        <v>-2.96</v>
      </c>
      <c r="G319" s="38">
        <f>'Fiscal Forecasts'!G$199</f>
        <v>-3.4580000000000002</v>
      </c>
      <c r="H319" s="38">
        <f>'Fiscal Forecasts'!H$199</f>
        <v>-3.5209999999999999</v>
      </c>
      <c r="I319" s="38">
        <f>'Fiscal Forecasts'!I$199</f>
        <v>-3.4359999999999999</v>
      </c>
      <c r="J319" s="38">
        <f>'Fiscal Forecasts'!J$199</f>
        <v>-3.5339999999999998</v>
      </c>
      <c r="K319" s="38">
        <f>'Fiscal Forecasts'!K$199</f>
        <v>-3.468</v>
      </c>
      <c r="L319" s="7">
        <f t="shared" ref="L319:U319" ca="1" si="157">SUM(L$244-L$243,L$267-L$266,L$271-L$270,L$275-L$274,L$289-L$288,L$293-L$292,L$297-L$296,L$301-L$300,L$307-L$306,-L$317,-L$318)</f>
        <v>-3.8052692735974745</v>
      </c>
      <c r="M319" s="7">
        <f t="shared" ca="1" si="157"/>
        <v>-3.9746566482224761</v>
      </c>
      <c r="N319" s="7">
        <f t="shared" ca="1" si="157"/>
        <v>-4.1477243942912914</v>
      </c>
      <c r="O319" s="7">
        <f t="shared" ca="1" si="157"/>
        <v>-4.3252230997814447</v>
      </c>
      <c r="P319" s="7">
        <f t="shared" ca="1" si="157"/>
        <v>-4.5087367752692327</v>
      </c>
      <c r="Q319" s="7">
        <f t="shared" ca="1" si="157"/>
        <v>-4.6984990628462029</v>
      </c>
      <c r="R319" s="7">
        <f t="shared" ca="1" si="157"/>
        <v>-4.8941246616905438</v>
      </c>
      <c r="S319" s="7">
        <f t="shared" ca="1" si="157"/>
        <v>-5.0963375967922442</v>
      </c>
      <c r="T319" s="7">
        <f t="shared" ca="1" si="157"/>
        <v>-5.3052868286035739</v>
      </c>
      <c r="U319" s="7">
        <f t="shared" ca="1" si="157"/>
        <v>-5.5216280743864985</v>
      </c>
    </row>
    <row r="320" spans="1:21" ht="15" x14ac:dyDescent="0.25">
      <c r="A320" s="2"/>
      <c r="B320" s="4"/>
      <c r="D320" s="39"/>
      <c r="E320" s="39"/>
      <c r="F320" s="39"/>
      <c r="G320" s="38"/>
      <c r="H320" s="38"/>
      <c r="I320" s="38"/>
      <c r="J320" s="38"/>
      <c r="K320" s="38"/>
      <c r="L320" s="7"/>
      <c r="M320" s="7"/>
      <c r="N320" s="7"/>
      <c r="O320" s="7"/>
      <c r="P320" s="7"/>
      <c r="Q320" s="7"/>
      <c r="R320" s="7"/>
      <c r="S320" s="7"/>
      <c r="T320" s="7"/>
      <c r="U320" s="7"/>
    </row>
    <row r="321" spans="1:21" ht="15" x14ac:dyDescent="0.25">
      <c r="A321" s="18" t="s">
        <v>542</v>
      </c>
      <c r="B321" s="4"/>
      <c r="D321" s="39"/>
      <c r="E321" s="39"/>
      <c r="F321" s="39"/>
      <c r="G321" s="38"/>
      <c r="H321" s="38"/>
      <c r="I321" s="38"/>
      <c r="J321" s="38"/>
      <c r="K321" s="38"/>
      <c r="L321" s="7"/>
      <c r="M321" s="7"/>
      <c r="N321" s="7"/>
      <c r="O321" s="7"/>
      <c r="P321" s="7"/>
      <c r="Q321" s="7"/>
      <c r="R321" s="7"/>
      <c r="S321" s="7"/>
      <c r="T321" s="7"/>
      <c r="U321" s="7"/>
    </row>
    <row r="322" spans="1:21" x14ac:dyDescent="0.2">
      <c r="A322" s="1" t="s">
        <v>1222</v>
      </c>
      <c r="B322" s="4"/>
      <c r="D322" s="49">
        <f>D$369</f>
        <v>3.1560000000000001</v>
      </c>
      <c r="E322" s="49">
        <f>E$369</f>
        <v>-7.5999999999999998E-2</v>
      </c>
      <c r="F322" s="49">
        <f>F$369</f>
        <v>5.5119999999999996</v>
      </c>
      <c r="G322" s="15">
        <f t="shared" ref="G322:U322" si="158">G$369</f>
        <v>3.8959999999999999</v>
      </c>
      <c r="H322" s="15">
        <f t="shared" si="158"/>
        <v>2.641</v>
      </c>
      <c r="I322" s="15">
        <f t="shared" si="158"/>
        <v>2.8969999999999998</v>
      </c>
      <c r="J322" s="15">
        <f t="shared" si="158"/>
        <v>3.2090000000000001</v>
      </c>
      <c r="K322" s="15">
        <f t="shared" si="158"/>
        <v>3.593</v>
      </c>
      <c r="L322" s="6">
        <f t="shared" ca="1" si="158"/>
        <v>3.2094362994605494</v>
      </c>
      <c r="M322" s="6">
        <f t="shared" ca="1" si="158"/>
        <v>3.6218845559978323</v>
      </c>
      <c r="N322" s="6">
        <f t="shared" ca="1" si="158"/>
        <v>4.0674590042804812</v>
      </c>
      <c r="O322" s="6">
        <f t="shared" ca="1" si="158"/>
        <v>4.5457869515093901</v>
      </c>
      <c r="P322" s="6">
        <f t="shared" ca="1" si="158"/>
        <v>5.0570814337016374</v>
      </c>
      <c r="Q322" s="6">
        <f t="shared" ca="1" si="158"/>
        <v>5.4680177129874448</v>
      </c>
      <c r="R322" s="6">
        <f t="shared" ca="1" si="158"/>
        <v>5.8801288174281607</v>
      </c>
      <c r="S322" s="6">
        <f t="shared" ca="1" si="158"/>
        <v>6.3013958269500394</v>
      </c>
      <c r="T322" s="6">
        <f t="shared" ca="1" si="158"/>
        <v>6.7338295920476483</v>
      </c>
      <c r="U322" s="6">
        <f t="shared" ca="1" si="158"/>
        <v>7.1780509922627429</v>
      </c>
    </row>
    <row r="323" spans="1:21" x14ac:dyDescent="0.2">
      <c r="A323" s="1" t="s">
        <v>1223</v>
      </c>
      <c r="B323" s="4" t="str">
        <f t="shared" ref="B323:B336" si="159">$B$37</f>
        <v>From Fiscal</v>
      </c>
      <c r="D323" s="14">
        <f>'Fiscal Forecasts'!D$163-D$322</f>
        <v>0.51400000000000023</v>
      </c>
      <c r="E323" s="14">
        <f>'Fiscal Forecasts'!E$163-E$322</f>
        <v>-3.1829999999999998</v>
      </c>
      <c r="F323" s="14">
        <f>'Fiscal Forecasts'!F$163-F$322</f>
        <v>0.80200000000000049</v>
      </c>
      <c r="G323" s="15">
        <f>'Fiscal Forecasts'!G$163-G$322</f>
        <v>-0.17899999999999983</v>
      </c>
      <c r="H323" s="15">
        <f>'Fiscal Forecasts'!H$163-H$322</f>
        <v>0.1030000000000002</v>
      </c>
      <c r="I323" s="15">
        <f>'Fiscal Forecasts'!I$163-I$322</f>
        <v>0.14100000000000001</v>
      </c>
      <c r="J323" s="15">
        <f>'Fiscal Forecasts'!J$163-J$322</f>
        <v>0.19899999999999984</v>
      </c>
      <c r="K323" s="15">
        <f>'Fiscal Forecasts'!K$163-K$322</f>
        <v>0.2629999999999999</v>
      </c>
      <c r="L323" s="6">
        <f ca="1">IF(L$6=OFFSET(Assumptions!$B$8,0,$C$1),AVERAGE(I$323/I$13,J$323/J$13,K$323/K$13),K$323/K$13)*L$13</f>
        <v>0.2181389113609451</v>
      </c>
      <c r="M323" s="6">
        <f ca="1">IF(M$6=OFFSET(Assumptions!$B$8,0,$C$1),AVERAGE(J$323/J$13,K$323/K$13,L$323/L$13),L$323/L$13)*M$13</f>
        <v>0.22808515867635568</v>
      </c>
      <c r="N323" s="6">
        <f ca="1">IF(N$6=OFFSET(Assumptions!$B$8,0,$C$1),AVERAGE(K$323/K$13,L$323/L$13,M$323/M$13),M$323/M$13)*N$13</f>
        <v>0.23824824773062409</v>
      </c>
      <c r="O323" s="6">
        <f ca="1">IF(O$6=OFFSET(Assumptions!$B$8,0,$C$1),AVERAGE(L$323/L$13,M$323/M$13,N$323/N$13),N$323/N$13)*O$13</f>
        <v>0.248671572124433</v>
      </c>
      <c r="P323" s="6">
        <f ca="1">IF(P$6=OFFSET(Assumptions!$B$8,0,$C$1),AVERAGE(M$323/M$13,N$323/N$13,O$323/O$13),O$323/O$13)*P$13</f>
        <v>0.25944885191343792</v>
      </c>
      <c r="Q323" s="6">
        <f ca="1">IF(Q$6=OFFSET(Assumptions!$B$8,0,$C$1),AVERAGE(N$323/N$13,O$323/O$13,P$323/P$13),P$323/P$13)*Q$13</f>
        <v>0.27059725563584225</v>
      </c>
      <c r="R323" s="6">
        <f ca="1">IF(R$6=OFFSET(Assumptions!$B$8,0,$C$1),AVERAGE(O$323/O$13,P$323/P$13,Q$323/Q$13),Q$323/Q$13)*R$13</f>
        <v>0.28209760060116557</v>
      </c>
      <c r="S323" s="6">
        <f ca="1">IF(S$6=OFFSET(Assumptions!$B$8,0,$C$1),AVERAGE(P$323/P$13,Q$323/Q$13,R$323/R$13),R$323/R$13)*S$13</f>
        <v>0.29398413810211582</v>
      </c>
      <c r="T323" s="6">
        <f ca="1">IF(T$6=OFFSET(Assumptions!$B$8,0,$C$1),AVERAGE(Q$323/Q$13,R$323/R$13,S$323/S$13),S$323/S$13)*T$13</f>
        <v>0.30626768463904097</v>
      </c>
      <c r="U323" s="6">
        <f ca="1">IF(U$6=OFFSET(Assumptions!$B$8,0,$C$1),AVERAGE(R$323/R$13,S$323/S$13,T$323/T$13),T$323/T$13)*U$13</f>
        <v>0.31898537265253257</v>
      </c>
    </row>
    <row r="324" spans="1:21" ht="15" x14ac:dyDescent="0.25">
      <c r="A324" s="2" t="s">
        <v>1224</v>
      </c>
      <c r="B324" s="4"/>
      <c r="D324" s="34">
        <f>SUM(D$322:D$323)</f>
        <v>3.6700000000000004</v>
      </c>
      <c r="E324" s="34">
        <f>SUM(E$322:E$323)</f>
        <v>-3.2589999999999999</v>
      </c>
      <c r="F324" s="34">
        <f>SUM(F$322:F$323)</f>
        <v>6.3140000000000001</v>
      </c>
      <c r="G324" s="33">
        <f t="shared" ref="G324:U324" si="160">SUM(G$322:G$323)</f>
        <v>3.7170000000000001</v>
      </c>
      <c r="H324" s="33">
        <f t="shared" si="160"/>
        <v>2.7440000000000002</v>
      </c>
      <c r="I324" s="33">
        <f t="shared" si="160"/>
        <v>3.0379999999999998</v>
      </c>
      <c r="J324" s="33">
        <f t="shared" si="160"/>
        <v>3.4079999999999999</v>
      </c>
      <c r="K324" s="33">
        <f t="shared" si="160"/>
        <v>3.8559999999999999</v>
      </c>
      <c r="L324" s="37">
        <f t="shared" ca="1" si="160"/>
        <v>3.4275752108214945</v>
      </c>
      <c r="M324" s="37">
        <f t="shared" ca="1" si="160"/>
        <v>3.849969714674188</v>
      </c>
      <c r="N324" s="37">
        <f t="shared" ca="1" si="160"/>
        <v>4.3057072520111053</v>
      </c>
      <c r="O324" s="37">
        <f t="shared" ca="1" si="160"/>
        <v>4.7944585236338231</v>
      </c>
      <c r="P324" s="37">
        <f t="shared" ca="1" si="160"/>
        <v>5.3165302856150749</v>
      </c>
      <c r="Q324" s="37">
        <f t="shared" ca="1" si="160"/>
        <v>5.7386149686232866</v>
      </c>
      <c r="R324" s="37">
        <f t="shared" ca="1" si="160"/>
        <v>6.1622264180293262</v>
      </c>
      <c r="S324" s="37">
        <f t="shared" ca="1" si="160"/>
        <v>6.595379965052155</v>
      </c>
      <c r="T324" s="37">
        <f t="shared" ca="1" si="160"/>
        <v>7.0400972766866889</v>
      </c>
      <c r="U324" s="37">
        <f t="shared" ca="1" si="160"/>
        <v>7.4970363649152754</v>
      </c>
    </row>
    <row r="325" spans="1:21" x14ac:dyDescent="0.2">
      <c r="A325" s="1" t="s">
        <v>272</v>
      </c>
      <c r="B325" s="4" t="str">
        <f t="shared" si="159"/>
        <v>From Fiscal</v>
      </c>
      <c r="D325" s="14">
        <f>SUM('Fiscal Forecasts'!D$286,'Fiscal Forecasts'!D$292)</f>
        <v>1.4169999999999998</v>
      </c>
      <c r="E325" s="14">
        <f>SUM('Fiscal Forecasts'!E$286,'Fiscal Forecasts'!E$292)</f>
        <v>-3.3</v>
      </c>
      <c r="F325" s="14">
        <f>SUM('Fiscal Forecasts'!F$286,'Fiscal Forecasts'!F$292)</f>
        <v>1.2909999999999999</v>
      </c>
      <c r="G325" s="15">
        <f>SUM('Fiscal Forecasts'!G$286,'Fiscal Forecasts'!G$292)</f>
        <v>0.24099999999999999</v>
      </c>
      <c r="H325" s="15">
        <f>SUM('Fiscal Forecasts'!H$286,'Fiscal Forecasts'!H$292)</f>
        <v>0.111</v>
      </c>
      <c r="I325" s="15">
        <f>SUM('Fiscal Forecasts'!I$286,'Fiscal Forecasts'!I$292)</f>
        <v>0.20100000000000001</v>
      </c>
      <c r="J325" s="15">
        <f>SUM('Fiscal Forecasts'!J$286,'Fiscal Forecasts'!J$292)</f>
        <v>0.26200000000000001</v>
      </c>
      <c r="K325" s="15">
        <f>SUM('Fiscal Forecasts'!K$286,'Fiscal Forecasts'!K$292)</f>
        <v>0.311</v>
      </c>
      <c r="L325" s="6">
        <f>K$325*Exogenous!S$27/Exogenous!R$27</f>
        <v>0.33384024837273174</v>
      </c>
      <c r="M325" s="6">
        <f>L$325*Exogenous!T$27/Exogenous!S$27</f>
        <v>0.3584546333772004</v>
      </c>
      <c r="N325" s="6">
        <f>M$325*Exogenous!U$27/Exogenous!T$27</f>
        <v>0.38472449317428542</v>
      </c>
      <c r="O325" s="6">
        <f>N$325*Exogenous!V$27/Exogenous!U$27</f>
        <v>0.41065024423664243</v>
      </c>
      <c r="P325" s="6">
        <f>O$325*Exogenous!W$27/Exogenous!V$27</f>
        <v>0.43536989300797779</v>
      </c>
      <c r="Q325" s="6">
        <f>P$325*Exogenous!X$27/Exogenous!W$27</f>
        <v>0.46642419134309143</v>
      </c>
      <c r="R325" s="6">
        <f>Q$325*Exogenous!Y$27/Exogenous!X$27</f>
        <v>0.49034991487186952</v>
      </c>
      <c r="S325" s="6">
        <f>R$325*Exogenous!Z$27/Exogenous!Y$27</f>
        <v>0.51323442795032925</v>
      </c>
      <c r="T325" s="6">
        <f>S$325*Exogenous!AA$27/Exogenous!Z$27</f>
        <v>0.53736688298021829</v>
      </c>
      <c r="U325" s="6">
        <f>T$325*Exogenous!AB$27/Exogenous!AA$27</f>
        <v>0.56298565838296533</v>
      </c>
    </row>
    <row r="326" spans="1:21" x14ac:dyDescent="0.2">
      <c r="A326" s="1" t="s">
        <v>483</v>
      </c>
      <c r="B326" s="4" t="str">
        <f t="shared" si="159"/>
        <v>From Fiscal</v>
      </c>
      <c r="D326" s="14">
        <f>SUM('Fiscal Forecasts'!D$287,'Fiscal Forecasts'!D$293)</f>
        <v>0.34200000000000003</v>
      </c>
      <c r="E326" s="14">
        <f>SUM('Fiscal Forecasts'!E$287,'Fiscal Forecasts'!E$293)</f>
        <v>6.0000000000000053E-3</v>
      </c>
      <c r="F326" s="14">
        <f>SUM('Fiscal Forecasts'!F$287,'Fiscal Forecasts'!F$293)</f>
        <v>9.3000000000000013E-2</v>
      </c>
      <c r="G326" s="15">
        <f>SUM('Fiscal Forecasts'!G$287,'Fiscal Forecasts'!G$293)</f>
        <v>4.2999999999999997E-2</v>
      </c>
      <c r="H326" s="15">
        <f>SUM('Fiscal Forecasts'!H$287,'Fiscal Forecasts'!H$293)</f>
        <v>6.8000000000000005E-2</v>
      </c>
      <c r="I326" s="15">
        <f>SUM('Fiscal Forecasts'!I$287,'Fiscal Forecasts'!I$293)</f>
        <v>3.5000000000000003E-2</v>
      </c>
      <c r="J326" s="15">
        <f>SUM('Fiscal Forecasts'!J$287,'Fiscal Forecasts'!J$293)</f>
        <v>3.2000000000000001E-2</v>
      </c>
      <c r="K326" s="15">
        <f>SUM('Fiscal Forecasts'!K$287,'Fiscal Forecasts'!K$293)</f>
        <v>3.1E-2</v>
      </c>
      <c r="L326" s="6">
        <f ca="1">IF(L$6=OFFSET(Assumptions!$B$8,0,$C$1),AVERAGE(I$326/I$13,J$326/J$13,K$326/K$13),K$326/K$13)*L$13</f>
        <v>3.5839757465270107E-2</v>
      </c>
      <c r="M326" s="6">
        <f ca="1">IF(M$6=OFFSET(Assumptions!$B$8,0,$C$1),AVERAGE(J$326/J$13,K$326/K$13,L$326/L$13),L$326/L$13)*M$13</f>
        <v>3.7473904666472886E-2</v>
      </c>
      <c r="N326" s="6">
        <f ca="1">IF(N$6=OFFSET(Assumptions!$B$8,0,$C$1),AVERAGE(K$326/K$13,L$326/L$13,M$326/M$13),M$326/M$13)*N$13</f>
        <v>3.9143678502467805E-2</v>
      </c>
      <c r="O326" s="6">
        <f ca="1">IF(O$6=OFFSET(Assumptions!$B$8,0,$C$1),AVERAGE(L$326/L$13,M$326/M$13,N$326/N$13),N$326/N$13)*O$13</f>
        <v>4.0856208449212679E-2</v>
      </c>
      <c r="P326" s="6">
        <f ca="1">IF(P$6=OFFSET(Assumptions!$B$8,0,$C$1),AVERAGE(M$326/M$13,N$326/N$13,O$326/O$13),O$326/O$13)*P$13</f>
        <v>4.2626892511783136E-2</v>
      </c>
      <c r="Q326" s="6">
        <f ca="1">IF(Q$6=OFFSET(Assumptions!$B$8,0,$C$1),AVERAGE(N$326/N$13,O$326/O$13,P$326/P$13),P$326/P$13)*Q$13</f>
        <v>4.4458551444355496E-2</v>
      </c>
      <c r="R326" s="6">
        <f ca="1">IF(R$6=OFFSET(Assumptions!$B$8,0,$C$1),AVERAGE(O$326/O$13,P$326/P$13,Q$326/Q$13),Q$326/Q$13)*R$13</f>
        <v>4.6348033571834021E-2</v>
      </c>
      <c r="S326" s="6">
        <f ca="1">IF(S$6=OFFSET(Assumptions!$B$8,0,$C$1),AVERAGE(P$326/P$13,Q$326/Q$13,R$326/R$13),R$326/R$13)*S$13</f>
        <v>4.8300966308492788E-2</v>
      </c>
      <c r="T326" s="6">
        <f ca="1">IF(T$6=OFFSET(Assumptions!$B$8,0,$C$1),AVERAGE(Q$326/Q$13,R$326/R$13,S$326/S$13),S$326/S$13)*T$13</f>
        <v>5.031912678224848E-2</v>
      </c>
      <c r="U326" s="6">
        <f ca="1">IF(U$6=OFFSET(Assumptions!$B$8,0,$C$1),AVERAGE(R$326/R$13,S$326/S$13,T$326/T$13),T$326/T$13)*U$13</f>
        <v>5.2408615773821929E-2</v>
      </c>
    </row>
    <row r="327" spans="1:21" x14ac:dyDescent="0.2">
      <c r="A327" s="1" t="s">
        <v>484</v>
      </c>
      <c r="B327" s="4" t="str">
        <f t="shared" si="159"/>
        <v>From Fiscal</v>
      </c>
      <c r="D327" s="14">
        <f>SUM('Fiscal Forecasts'!D$26:D$27)-SUM(D$324:D$326)</f>
        <v>-0.88199999999999967</v>
      </c>
      <c r="E327" s="14">
        <f>SUM('Fiscal Forecasts'!E$26:E$27)-SUM(E$324:E$326)</f>
        <v>-0.96600000000000019</v>
      </c>
      <c r="F327" s="14">
        <f>SUM('Fiscal Forecasts'!F$26:F$27)-SUM(F$324:F$326)</f>
        <v>-4.7000000000000597E-2</v>
      </c>
      <c r="G327" s="15">
        <f>SUM('Fiscal Forecasts'!G$26:G$27)-SUM(G$324:G$326)</f>
        <v>-0.32899999999999974</v>
      </c>
      <c r="H327" s="15">
        <f>SUM('Fiscal Forecasts'!H$26:H$27)-SUM(H$324:H$326)</f>
        <v>-0.11900000000000066</v>
      </c>
      <c r="I327" s="15">
        <f>SUM('Fiscal Forecasts'!I$26:I$27)-SUM(I$324:I$326)</f>
        <v>-0.13900000000000023</v>
      </c>
      <c r="J327" s="15">
        <f>SUM('Fiscal Forecasts'!J$26:J$27)-SUM(J$324:J$326)</f>
        <v>-0.15200000000000014</v>
      </c>
      <c r="K327" s="15">
        <f>SUM('Fiscal Forecasts'!K$26:K$27)-SUM(K$324:K$326)</f>
        <v>-0.16099999999999959</v>
      </c>
      <c r="L327" s="6">
        <f ca="1">IF(L$6=OFFSET(Assumptions!$B$8,0,$C$1),AVERAGE(I$327/SUM(I$325,I$326),J$327/SUM(J$325,J$326),K$327/SUM(K$325,K$326)),K$327/SUM(K$325,K$326))*SUM(L$325,L$326)</f>
        <v>-0.19429766051571462</v>
      </c>
      <c r="M327" s="6">
        <f ca="1">IF(M$6=OFFSET(Assumptions!$B$8,0,$C$1),AVERAGE(J$327/SUM(J$325,J$326),K$327/SUM(K$325,K$326),L$327/SUM(L$325,L$326)),L$327/SUM(L$325,L$326))*SUM(M$325,M$326)</f>
        <v>-0.20809345233294435</v>
      </c>
      <c r="N327" s="6">
        <f ca="1">IF(N$6=OFFSET(Assumptions!$B$8,0,$C$1),AVERAGE(K$327/SUM(K$325,K$326),L$327/SUM(L$325,L$326),M$327/SUM(M$325,M$326)),M$327/SUM(M$325,M$326))*SUM(N$325,N$326)</f>
        <v>-0.2227780589247125</v>
      </c>
      <c r="O327" s="6">
        <f ca="1">IF(O$6=OFFSET(Assumptions!$B$8,0,$C$1),AVERAGE(L$327/SUM(L$325,L$326),M$327/SUM(M$325,M$326),N$327/SUM(N$325,N$326)),N$327/SUM(N$325,N$326))*SUM(O$325,O$326)</f>
        <v>-0.23730427959107339</v>
      </c>
      <c r="P327" s="6">
        <f ca="1">IF(P$6=OFFSET(Assumptions!$B$8,0,$C$1),AVERAGE(M$327/SUM(M$325,M$326),N$327/SUM(N$325,N$326),O$327/SUM(O$325,O$326)),O$327/SUM(O$325,O$326))*SUM(P$325,P$326)</f>
        <v>-0.25122715779554411</v>
      </c>
      <c r="Q327" s="6">
        <f ca="1">IF(Q$6=OFFSET(Assumptions!$B$8,0,$C$1),AVERAGE(N$327/SUM(N$325,N$326),O$327/SUM(O$325,O$326),P$327/SUM(P$325,P$326)),P$327/SUM(P$325,P$326))*SUM(Q$325,Q$326)</f>
        <v>-0.26851146979517976</v>
      </c>
      <c r="R327" s="6">
        <f ca="1">IF(R$6=OFFSET(Assumptions!$B$8,0,$C$1),AVERAGE(O$327/SUM(O$325,O$326),P$327/SUM(P$325,P$326),Q$327/SUM(Q$325,Q$326)),Q$327/SUM(Q$325,Q$326))*SUM(R$325,R$326)</f>
        <v>-0.2820795123875095</v>
      </c>
      <c r="S327" s="6">
        <f ca="1">IF(S$6=OFFSET(Assumptions!$B$8,0,$C$1),AVERAGE(P$327/SUM(P$325,P$326),Q$327/SUM(Q$325,Q$326),R$327/SUM(R$325,R$326)),R$327/SUM(R$325,R$326))*SUM(S$325,S$326)</f>
        <v>-0.29513366067482066</v>
      </c>
      <c r="T327" s="6">
        <f ca="1">IF(T$6=OFFSET(Assumptions!$B$8,0,$C$1),AVERAGE(Q$327/SUM(Q$325,Q$326),R$327/SUM(R$325,R$326),S$327/SUM(S$325,S$326)),S$327/SUM(S$325,S$326))*SUM(T$325,T$326)</f>
        <v>-0.30887798910255476</v>
      </c>
      <c r="U327" s="6">
        <f ca="1">IF(U$6=OFFSET(Assumptions!$B$8,0,$C$1),AVERAGE(R$327/SUM(R$325,R$326),S$327/SUM(S$325,S$326),T$327/SUM(T$325,T$326)),T$327/SUM(T$325,T$326))*SUM(U$325,U$326)</f>
        <v>-0.32344099187183767</v>
      </c>
    </row>
    <row r="328" spans="1:21" ht="15" x14ac:dyDescent="0.25">
      <c r="A328" s="2" t="s">
        <v>543</v>
      </c>
      <c r="B328" s="4"/>
      <c r="D328" s="34">
        <f t="shared" ref="D328:U328" si="161">SUM(D$324:D$327)</f>
        <v>4.5469999999999997</v>
      </c>
      <c r="E328" s="34">
        <f t="shared" si="161"/>
        <v>-7.5189999999999992</v>
      </c>
      <c r="F328" s="34">
        <f t="shared" si="161"/>
        <v>7.6509999999999998</v>
      </c>
      <c r="G328" s="33">
        <f t="shared" si="161"/>
        <v>3.6720000000000006</v>
      </c>
      <c r="H328" s="33">
        <f t="shared" si="161"/>
        <v>2.8039999999999998</v>
      </c>
      <c r="I328" s="33">
        <f t="shared" si="161"/>
        <v>3.1349999999999998</v>
      </c>
      <c r="J328" s="33">
        <f t="shared" si="161"/>
        <v>3.55</v>
      </c>
      <c r="K328" s="33">
        <f t="shared" si="161"/>
        <v>4.0369999999999999</v>
      </c>
      <c r="L328" s="37">
        <f t="shared" ca="1" si="161"/>
        <v>3.6029575561437817</v>
      </c>
      <c r="M328" s="37">
        <f t="shared" ca="1" si="161"/>
        <v>4.037804800384917</v>
      </c>
      <c r="N328" s="37">
        <f t="shared" ca="1" si="161"/>
        <v>4.5067973647631465</v>
      </c>
      <c r="O328" s="37">
        <f t="shared" ca="1" si="161"/>
        <v>5.0086606967286036</v>
      </c>
      <c r="P328" s="37">
        <f t="shared" ca="1" si="161"/>
        <v>5.5432999133392915</v>
      </c>
      <c r="Q328" s="37">
        <f t="shared" ca="1" si="161"/>
        <v>5.9809862416155539</v>
      </c>
      <c r="R328" s="37">
        <f t="shared" ca="1" si="161"/>
        <v>6.4168448540855207</v>
      </c>
      <c r="S328" s="37">
        <f t="shared" ca="1" si="161"/>
        <v>6.8617816986361566</v>
      </c>
      <c r="T328" s="37">
        <f t="shared" ca="1" si="161"/>
        <v>7.3189052973466016</v>
      </c>
      <c r="U328" s="37">
        <f t="shared" ca="1" si="161"/>
        <v>7.7889896472002249</v>
      </c>
    </row>
    <row r="329" spans="1:21" ht="15" x14ac:dyDescent="0.25">
      <c r="A329" s="2"/>
      <c r="B329" s="4"/>
      <c r="D329" s="48"/>
      <c r="E329" s="48"/>
      <c r="F329" s="48"/>
      <c r="G329" s="48"/>
      <c r="H329" s="48"/>
      <c r="I329" s="48"/>
      <c r="J329" s="48"/>
      <c r="K329" s="48"/>
      <c r="L329" s="48"/>
      <c r="M329" s="48"/>
      <c r="N329" s="48"/>
      <c r="O329" s="48"/>
      <c r="P329" s="48"/>
      <c r="Q329" s="48"/>
      <c r="R329" s="48"/>
      <c r="S329" s="48"/>
      <c r="T329" s="48"/>
      <c r="U329" s="48"/>
    </row>
    <row r="330" spans="1:21" ht="15" x14ac:dyDescent="0.25">
      <c r="A330" s="18" t="s">
        <v>261</v>
      </c>
      <c r="B330" s="4"/>
      <c r="D330" s="39"/>
      <c r="E330" s="39"/>
      <c r="F330" s="39"/>
      <c r="G330" s="38"/>
      <c r="H330" s="38"/>
      <c r="I330" s="38"/>
      <c r="J330" s="38"/>
      <c r="K330" s="38"/>
      <c r="L330" s="7"/>
      <c r="M330" s="7"/>
      <c r="N330" s="7"/>
      <c r="O330" s="7"/>
      <c r="P330" s="7"/>
      <c r="Q330" s="7"/>
      <c r="R330" s="7"/>
      <c r="S330" s="7"/>
      <c r="T330" s="7"/>
      <c r="U330" s="7"/>
    </row>
    <row r="331" spans="1:21" ht="15" x14ac:dyDescent="0.25">
      <c r="A331" s="2" t="s">
        <v>544</v>
      </c>
      <c r="B331" s="4" t="str">
        <f t="shared" si="159"/>
        <v>From Fiscal</v>
      </c>
      <c r="D331" s="39">
        <f>'Fiscal Forecasts'!D$164</f>
        <v>0.35899999999999999</v>
      </c>
      <c r="E331" s="39">
        <f>'Fiscal Forecasts'!E$164</f>
        <v>0.155</v>
      </c>
      <c r="F331" s="39">
        <f>'Fiscal Forecasts'!F$164</f>
        <v>0.307</v>
      </c>
      <c r="G331" s="38">
        <f>'Fiscal Forecasts'!G$164</f>
        <v>0.113</v>
      </c>
      <c r="H331" s="38">
        <f>'Fiscal Forecasts'!H$164</f>
        <v>0.125</v>
      </c>
      <c r="I331" s="38">
        <f>'Fiscal Forecasts'!I$164</f>
        <v>0.123</v>
      </c>
      <c r="J331" s="38">
        <f>'Fiscal Forecasts'!J$164</f>
        <v>0.122</v>
      </c>
      <c r="K331" s="38">
        <f>'Fiscal Forecasts'!K$164</f>
        <v>0.121</v>
      </c>
      <c r="L331" s="7">
        <f ca="1">IF(L$6=OFFSET(Assumptions!$B$8,0,$C$1),AVERAGE(I$331/I$13,J$331/J$13,K$331/K$13),K$331/K$13)*L$13</f>
        <v>0.13363874947188845</v>
      </c>
      <c r="M331" s="7">
        <f ca="1">IF(M$6=OFFSET(Assumptions!$B$8,0,$C$1),AVERAGE(J$331/J$13,K$331/K$13,L$331/L$13),L$331/L$13)*M$13</f>
        <v>0.13973213301761553</v>
      </c>
      <c r="N331" s="7">
        <f ca="1">IF(N$6=OFFSET(Assumptions!$B$8,0,$C$1),AVERAGE(K$331/K$13,L$331/L$13,M$331/M$13),M$331/M$13)*N$13</f>
        <v>0.14595836062419112</v>
      </c>
      <c r="O331" s="7">
        <f ca="1">IF(O$6=OFFSET(Assumptions!$B$8,0,$C$1),AVERAGE(L$331/L$13,M$331/M$13,N$331/N$13),N$331/N$13)*O$13</f>
        <v>0.1523440165745116</v>
      </c>
      <c r="P331" s="7">
        <f ca="1">IF(P$6=OFFSET(Assumptions!$B$8,0,$C$1),AVERAGE(M$331/M$13,N$331/N$13,O$331/O$13),O$331/O$13)*P$13</f>
        <v>0.1589465167186887</v>
      </c>
      <c r="Q331" s="7">
        <f ca="1">IF(Q$6=OFFSET(Assumptions!$B$8,0,$C$1),AVERAGE(N$331/N$13,O$331/O$13,P$331/P$13),P$331/P$13)*Q$13</f>
        <v>0.16577637904253908</v>
      </c>
      <c r="R331" s="7">
        <f ca="1">IF(R$6=OFFSET(Assumptions!$B$8,0,$C$1),AVERAGE(O$331/O$13,P$331/P$13,Q$331/Q$13),Q$331/Q$13)*R$13</f>
        <v>0.17282185162729086</v>
      </c>
      <c r="S331" s="7">
        <f ca="1">IF(S$6=OFFSET(Assumptions!$B$8,0,$C$1),AVERAGE(P$331/P$13,Q$331/Q$13,R$331/R$13),R$331/R$13)*S$13</f>
        <v>0.18010391789078878</v>
      </c>
      <c r="T331" s="7">
        <f ca="1">IF(T$6=OFFSET(Assumptions!$B$8,0,$C$1),AVERAGE(Q$331/Q$13,R$331/R$13,S$331/S$13),S$331/S$13)*T$13</f>
        <v>0.18762920436092342</v>
      </c>
      <c r="U331" s="7">
        <f ca="1">IF(U$6=OFFSET(Assumptions!$B$8,0,$C$1),AVERAGE(R$331/R$13,S$331/S$13,T$331/T$13),T$331/T$13)*U$13</f>
        <v>0.19542045953723822</v>
      </c>
    </row>
    <row r="332" spans="1:21" ht="15" x14ac:dyDescent="0.25">
      <c r="A332" s="2" t="s">
        <v>545</v>
      </c>
      <c r="B332" s="4" t="str">
        <f t="shared" si="159"/>
        <v>From Fiscal</v>
      </c>
      <c r="D332" s="39">
        <f>'Fiscal Forecasts'!D$30</f>
        <v>1.028</v>
      </c>
      <c r="E332" s="39">
        <f>'Fiscal Forecasts'!E$30</f>
        <v>0.307</v>
      </c>
      <c r="F332" s="39">
        <f>'Fiscal Forecasts'!F$30</f>
        <v>0.56999999999999995</v>
      </c>
      <c r="G332" s="38">
        <f>'Fiscal Forecasts'!G$30</f>
        <v>0.20100000000000001</v>
      </c>
      <c r="H332" s="38">
        <f>'Fiscal Forecasts'!H$30</f>
        <v>0.249</v>
      </c>
      <c r="I332" s="38">
        <f>'Fiscal Forecasts'!I$30</f>
        <v>0.28299999999999997</v>
      </c>
      <c r="J332" s="38">
        <f>'Fiscal Forecasts'!J$30</f>
        <v>0.29799999999999999</v>
      </c>
      <c r="K332" s="38">
        <f>'Fiscal Forecasts'!K$30</f>
        <v>0.307</v>
      </c>
      <c r="L332" s="7">
        <f ca="1">SUM(L$331,IF(L$6=OFFSET(Assumptions!$B$8,0,$C$1),AVERAGE((I$332-I$331)/I$13,(J$332-J$331)/J$13,(K$332-K$331)/K$13),(K$332-K$331)/K$13)*L$13)</f>
        <v>0.32376799048446347</v>
      </c>
      <c r="M332" s="7">
        <f ca="1">SUM(M$331,IF(M$6=OFFSET(Assumptions!$B$8,0,$C$1),AVERAGE((J$332-J$331)/J$13,(K$332-K$331)/K$13,(L$332-L$331)/L$13),(L$332-L$331)/L$13)*M$13)</f>
        <v>0.33853049427657023</v>
      </c>
      <c r="N332" s="7">
        <f ca="1">SUM(N$331,IF(N$6=OFFSET(Assumptions!$B$8,0,$C$1),AVERAGE((K$332-K$331)/K$13,(L$332-L$331)/L$13,(M$332-M$331)/M$13),(M$332-M$331)/M$13)*N$13)</f>
        <v>0.35361484075875516</v>
      </c>
      <c r="O332" s="7">
        <f ca="1">SUM(O$331,IF(O$6=OFFSET(Assumptions!$B$8,0,$C$1),AVERAGE((L$332-L$331)/L$13,(M$332-M$331)/M$13,(N$332-N$331)/N$13),(N$332-N$331)/N$13)*O$13)</f>
        <v>0.36908543595012461</v>
      </c>
      <c r="P332" s="7">
        <f ca="1">SUM(P$331,IF(P$6=OFFSET(Assumptions!$B$8,0,$C$1),AVERAGE((M$332-M$331)/M$13,(N$332-N$331)/N$13,(O$332-O$331)/O$13),(O$332-O$331)/O$13)*P$13)</f>
        <v>0.38508138182885543</v>
      </c>
      <c r="Q332" s="7">
        <f ca="1">SUM(Q$331,IF(Q$6=OFFSET(Assumptions!$B$8,0,$C$1),AVERAGE((N$332-N$331)/N$13,(O$332-O$331)/O$13,(P$332-P$331)/P$13),(P$332-P$331)/P$13)*Q$13)</f>
        <v>0.40162816042875349</v>
      </c>
      <c r="R332" s="7">
        <f ca="1">SUM(R$331,IF(R$6=OFFSET(Assumptions!$B$8,0,$C$1),AVERAGE((O$332-O$331)/O$13,(P$332-P$331)/P$13,(Q$332-Q$331)/Q$13),(Q$332-Q$331)/Q$13)*R$13)</f>
        <v>0.41869730025378832</v>
      </c>
      <c r="S332" s="7">
        <f ca="1">SUM(S$331,IF(S$6=OFFSET(Assumptions!$B$8,0,$C$1),AVERAGE((P$332-P$331)/P$13,(Q$332-Q$331)/Q$13,(R$332-R$331)/R$13),(R$332-R$331)/R$13)*S$13)</f>
        <v>0.43633963804896037</v>
      </c>
      <c r="T332" s="7">
        <f ca="1">SUM(T$331,IF(T$6=OFFSET(Assumptions!$B$8,0,$C$1),AVERAGE((Q$332-Q$331)/Q$13,(R$332-R$331)/R$13,(S$332-S$331)/S$13),(S$332-S$331)/S$13)*T$13)</f>
        <v>0.45457122797241989</v>
      </c>
      <c r="U332" s="7">
        <f ca="1">SUM(U$331,IF(U$6=OFFSET(Assumptions!$B$8,0,$C$1),AVERAGE((R$332-R$331)/R$13,(S$332-S$331)/S$13,(T$332-T$331)/T$13),(T$332-T$331)/T$13)*U$13)</f>
        <v>0.47344718305098599</v>
      </c>
    </row>
    <row r="333" spans="1:21" ht="15" x14ac:dyDescent="0.25">
      <c r="A333" s="2"/>
      <c r="B333" s="4"/>
      <c r="D333" s="39"/>
      <c r="E333" s="39"/>
      <c r="F333" s="39"/>
      <c r="G333" s="38"/>
      <c r="H333" s="38"/>
      <c r="I333" s="38"/>
      <c r="J333" s="38"/>
      <c r="K333" s="38"/>
      <c r="L333" s="7"/>
      <c r="M333" s="7"/>
      <c r="N333" s="7"/>
      <c r="O333" s="7"/>
      <c r="P333" s="7"/>
      <c r="Q333" s="7"/>
      <c r="R333" s="7"/>
      <c r="S333" s="7"/>
      <c r="T333" s="7"/>
      <c r="U333" s="7"/>
    </row>
    <row r="334" spans="1:21" ht="15" x14ac:dyDescent="0.25">
      <c r="A334" s="18" t="s">
        <v>212</v>
      </c>
      <c r="B334" s="4"/>
      <c r="D334" s="39"/>
      <c r="E334" s="39"/>
      <c r="F334" s="39"/>
      <c r="G334" s="7"/>
      <c r="H334" s="7"/>
      <c r="I334" s="7"/>
      <c r="J334" s="7"/>
      <c r="K334" s="7"/>
      <c r="L334" s="7"/>
      <c r="M334" s="7"/>
      <c r="N334" s="7"/>
      <c r="O334" s="7"/>
      <c r="P334" s="7"/>
      <c r="Q334" s="7"/>
      <c r="R334" s="7"/>
      <c r="S334" s="7"/>
      <c r="T334" s="7"/>
      <c r="U334" s="7"/>
    </row>
    <row r="335" spans="1:21" x14ac:dyDescent="0.2">
      <c r="A335" s="1" t="s">
        <v>546</v>
      </c>
      <c r="B335" s="4"/>
      <c r="D335" s="49">
        <f t="shared" ref="D335:K335" ca="1" si="162">D$74-SUM(D$348,D$357,D$380)</f>
        <v>2.8216399999999986</v>
      </c>
      <c r="E335" s="49">
        <f t="shared" ca="1" si="162"/>
        <v>2.4192399999999985</v>
      </c>
      <c r="F335" s="49">
        <f t="shared" ca="1" si="162"/>
        <v>4.5017199999999988</v>
      </c>
      <c r="G335" s="15">
        <f t="shared" ca="1" si="162"/>
        <v>3.7957999999999998</v>
      </c>
      <c r="H335" s="15">
        <f t="shared" ca="1" si="162"/>
        <v>3.8839599999999947</v>
      </c>
      <c r="I335" s="15">
        <f t="shared" ca="1" si="162"/>
        <v>4.6119999999999948</v>
      </c>
      <c r="J335" s="15">
        <f t="shared" ca="1" si="162"/>
        <v>5.5865200000000002</v>
      </c>
      <c r="K335" s="15">
        <f t="shared" ca="1" si="162"/>
        <v>6.6950399999999988</v>
      </c>
      <c r="L335" s="6">
        <f ca="1">OFFSET(Assumptions!$B$71,0,$C$1)/SUM(OFFSET(Assumptions!$B$71,0,$C$1,6,1))*SUM(L$373,L$69,-L$341,L$448)</f>
        <v>5.1617641187105248</v>
      </c>
      <c r="M335" s="6">
        <f ca="1">OFFSET(Assumptions!$B$71,0,$C$1)/SUM(OFFSET(Assumptions!$B$71,0,$C$1,6,1))*SUM(M$373,M$69,-M$341,M$448)</f>
        <v>5.6514211160122807</v>
      </c>
      <c r="N335" s="6">
        <f ca="1">OFFSET(Assumptions!$B$71,0,$C$1)/SUM(OFFSET(Assumptions!$B$71,0,$C$1,6,1))*SUM(N$373,N$69,-N$341,N$448)</f>
        <v>6.1606884327812566</v>
      </c>
      <c r="O335" s="6">
        <f ca="1">OFFSET(Assumptions!$B$71,0,$C$1)/SUM(OFFSET(Assumptions!$B$71,0,$C$1,6,1))*SUM(O$373,O$69,-O$341,O$448)</f>
        <v>6.6890846165245614</v>
      </c>
      <c r="P335" s="6">
        <f ca="1">OFFSET(Assumptions!$B$71,0,$C$1)/SUM(OFFSET(Assumptions!$B$71,0,$C$1,6,1))*SUM(P$373,P$69,-P$341,P$448)</f>
        <v>7.2364615252405287</v>
      </c>
      <c r="Q335" s="6">
        <f ca="1">OFFSET(Assumptions!$B$71,0,$C$1)/SUM(OFFSET(Assumptions!$B$71,0,$C$1,6,1))*SUM(Q$373,Q$69,-Q$341,Q$448)</f>
        <v>7.7943184670138015</v>
      </c>
      <c r="R335" s="6">
        <f ca="1">OFFSET(Assumptions!$B$71,0,$C$1)/SUM(OFFSET(Assumptions!$B$71,0,$C$1,6,1))*SUM(R$373,R$69,-R$341,R$448)</f>
        <v>8.3627772205905391</v>
      </c>
      <c r="S335" s="6">
        <f ca="1">OFFSET(Assumptions!$B$71,0,$C$1)/SUM(OFFSET(Assumptions!$B$71,0,$C$1,6,1))*SUM(S$373,S$69,-S$341,S$448)</f>
        <v>8.9456874312979018</v>
      </c>
      <c r="T335" s="6">
        <f ca="1">OFFSET(Assumptions!$B$71,0,$C$1)/SUM(OFFSET(Assumptions!$B$71,0,$C$1,6,1))*SUM(T$373,T$69,-T$341,T$448)</f>
        <v>9.5445122776356346</v>
      </c>
      <c r="U335" s="6">
        <f ca="1">OFFSET(Assumptions!$B$71,0,$C$1)/SUM(OFFSET(Assumptions!$B$71,0,$C$1,6,1))*SUM(U$373,U$69,-U$341,U$448)</f>
        <v>10.159586185844153</v>
      </c>
    </row>
    <row r="336" spans="1:21" x14ac:dyDescent="0.2">
      <c r="A336" s="1" t="s">
        <v>547</v>
      </c>
      <c r="B336" s="4" t="str">
        <f t="shared" si="159"/>
        <v>From Fiscal</v>
      </c>
      <c r="D336" s="49">
        <f ca="1">'Fiscal Forecasts'!D$167-D$335</f>
        <v>6.0603600000000011</v>
      </c>
      <c r="E336" s="49">
        <f ca="1">'Fiscal Forecasts'!E$167-E$335</f>
        <v>9.4607600000000023</v>
      </c>
      <c r="F336" s="49">
        <f ca="1">'Fiscal Forecasts'!F$167-F$335</f>
        <v>11.289280000000002</v>
      </c>
      <c r="G336" s="15">
        <f ca="1">'Fiscal Forecasts'!G$167-G$335</f>
        <v>11.392200000000001</v>
      </c>
      <c r="H336" s="15">
        <f ca="1">'Fiscal Forecasts'!H$167-H$335</f>
        <v>10.708040000000004</v>
      </c>
      <c r="I336" s="15">
        <f ca="1">'Fiscal Forecasts'!I$167-I$335</f>
        <v>9.7690000000000055</v>
      </c>
      <c r="J336" s="15">
        <f ca="1">'Fiscal Forecasts'!J$167-J$335</f>
        <v>8.5704799999999999</v>
      </c>
      <c r="K336" s="15">
        <f ca="1">'Fiscal Forecasts'!K$167-K$335</f>
        <v>7.2169600000000003</v>
      </c>
      <c r="L336" s="6">
        <f ca="1">(K$336/K$13+ IF(L$2&gt;0,L$2*IF(L$6=OFFSET(Assumptions!$B$8,0,$C$1),SUMPRODUCT(OFFSET(K$336,0,0,1,-OFFSET(Assumptions!$B$84,0,$C$1)),OFFSET(K$15,0,0,1,-OFFSET(Assumptions!$B$84,0,$C$1)))/OFFSET(Assumptions!$B$84,0,$C$1)-K$336/K$13,(K$336/K$13-J$336/J$13)/K$2),0))*L$13</f>
        <v>8.1605126653224378</v>
      </c>
      <c r="M336" s="6">
        <f ca="1">(L$336/L$13+ IF(M$2&gt;0,M$2*IF(M$6=OFFSET(Assumptions!$B$8,0,$C$1),SUMPRODUCT(OFFSET(L$336,0,0,1,-OFFSET(Assumptions!$B$84,0,$C$1)),OFFSET(L$15,0,0,1,-OFFSET(Assumptions!$B$84,0,$C$1)))/OFFSET(Assumptions!$B$84,0,$C$1)-L$336/L$13,(L$336/L$13-K$336/K$13)/L$2),0))*M$13</f>
        <v>9.0387479835821569</v>
      </c>
      <c r="N336" s="6">
        <f ca="1">(M$336/M$13+ IF(N$2&gt;0,N$2*IF(N$6=OFFSET(Assumptions!$B$8,0,$C$1),SUMPRODUCT(OFFSET(M$336,0,0,1,-OFFSET(Assumptions!$B$84,0,$C$1)),OFFSET(M$15,0,0,1,-OFFSET(Assumptions!$B$84,0,$C$1)))/OFFSET(Assumptions!$B$84,0,$C$1)-M$336/M$13,(M$336/M$13-L$336/L$13)/M$2),0))*N$13</f>
        <v>9.8380260177010825</v>
      </c>
      <c r="O336" s="6">
        <f ca="1">(N$336/N$13+ IF(O$2&gt;0,O$2*IF(O$6=OFFSET(Assumptions!$B$8,0,$C$1),SUMPRODUCT(OFFSET(N$336,0,0,1,-OFFSET(Assumptions!$B$84,0,$C$1)),OFFSET(N$15,0,0,1,-OFFSET(Assumptions!$B$84,0,$C$1)))/OFFSET(Assumptions!$B$84,0,$C$1)-N$336/N$13,(N$336/N$13-M$336/M$13)/N$2),0))*O$13</f>
        <v>10.544354609873519</v>
      </c>
      <c r="P336" s="6">
        <f ca="1">(O$336/O$13+ IF(P$2&gt;0,P$2*IF(P$6=OFFSET(Assumptions!$B$8,0,$C$1),SUMPRODUCT(OFFSET(O$336,0,0,1,-OFFSET(Assumptions!$B$84,0,$C$1)),OFFSET(O$15,0,0,1,-OFFSET(Assumptions!$B$84,0,$C$1)))/OFFSET(Assumptions!$B$84,0,$C$1)-O$336/O$13,(O$336/O$13-N$336/N$13)/O$2),0))*P$13</f>
        <v>11.145277999622978</v>
      </c>
      <c r="Q336" s="6">
        <f ca="1">(P$336/P$13+ IF(Q$2&gt;0,Q$2*IF(Q$6=OFFSET(Assumptions!$B$8,0,$C$1),SUMPRODUCT(OFFSET(P$336,0,0,1,-OFFSET(Assumptions!$B$84,0,$C$1)),OFFSET(P$15,0,0,1,-OFFSET(Assumptions!$B$84,0,$C$1)))/OFFSET(Assumptions!$B$84,0,$C$1)-P$336/P$13,(P$336/P$13-O$336/O$13)/P$2),0))*Q$13</f>
        <v>11.624185721980842</v>
      </c>
      <c r="R336" s="6">
        <f ca="1">(Q$336/Q$13+ IF(R$2&gt;0,R$2*IF(R$6=OFFSET(Assumptions!$B$8,0,$C$1),SUMPRODUCT(OFFSET(Q$336,0,0,1,-OFFSET(Assumptions!$B$84,0,$C$1)),OFFSET(Q$15,0,0,1,-OFFSET(Assumptions!$B$84,0,$C$1)))/OFFSET(Assumptions!$B$84,0,$C$1)-Q$336/Q$13,(Q$336/Q$13-P$336/P$13)/Q$2),0))*R$13</f>
        <v>12.118211965630811</v>
      </c>
      <c r="S336" s="6">
        <f ca="1">(R$336/R$13+ IF(S$2&gt;0,S$2*IF(S$6=OFFSET(Assumptions!$B$8,0,$C$1),SUMPRODUCT(OFFSET(R$336,0,0,1,-OFFSET(Assumptions!$B$84,0,$C$1)),OFFSET(R$15,0,0,1,-OFFSET(Assumptions!$B$84,0,$C$1)))/OFFSET(Assumptions!$B$84,0,$C$1)-R$336/R$13,(R$336/R$13-Q$336/Q$13)/R$2),0))*S$13</f>
        <v>12.628828080999996</v>
      </c>
      <c r="T336" s="6">
        <f ca="1">(S$336/S$13+ IF(T$2&gt;0,T$2*IF(T$6=OFFSET(Assumptions!$B$8,0,$C$1),SUMPRODUCT(OFFSET(S$336,0,0,1,-OFFSET(Assumptions!$B$84,0,$C$1)),OFFSET(S$15,0,0,1,-OFFSET(Assumptions!$B$84,0,$C$1)))/OFFSET(Assumptions!$B$84,0,$C$1)-S$336/S$13,(S$336/S$13-R$336/R$13)/S$2),0))*T$13</f>
        <v>13.1564987180665</v>
      </c>
      <c r="U336" s="6">
        <f ca="1">(T$336/T$13+ IF(U$2&gt;0,U$2*IF(U$6=OFFSET(Assumptions!$B$8,0,$C$1),SUMPRODUCT(OFFSET(T$336,0,0,1,-OFFSET(Assumptions!$B$84,0,$C$1)),OFFSET(T$15,0,0,1,-OFFSET(Assumptions!$B$84,0,$C$1)))/OFFSET(Assumptions!$B$84,0,$C$1)-T$336/T$13,(T$336/T$13-S$336/S$13)/T$2),0))*U$13</f>
        <v>13.702818994211437</v>
      </c>
    </row>
    <row r="337" spans="1:21" ht="15" x14ac:dyDescent="0.25">
      <c r="A337" s="2" t="s">
        <v>548</v>
      </c>
      <c r="B337" s="4"/>
      <c r="D337" s="34">
        <f t="shared" ref="D337:U337" ca="1" si="163">SUM(D$335:D$336)</f>
        <v>8.8819999999999997</v>
      </c>
      <c r="E337" s="34">
        <f t="shared" ca="1" si="163"/>
        <v>11.88</v>
      </c>
      <c r="F337" s="34">
        <f t="shared" ca="1" si="163"/>
        <v>15.791</v>
      </c>
      <c r="G337" s="33">
        <f t="shared" ca="1" si="163"/>
        <v>15.188000000000001</v>
      </c>
      <c r="H337" s="33">
        <f t="shared" ca="1" si="163"/>
        <v>14.591999999999999</v>
      </c>
      <c r="I337" s="33">
        <f t="shared" ca="1" si="163"/>
        <v>14.381</v>
      </c>
      <c r="J337" s="33">
        <f t="shared" ca="1" si="163"/>
        <v>14.157</v>
      </c>
      <c r="K337" s="33">
        <f t="shared" ca="1" si="163"/>
        <v>13.911999999999999</v>
      </c>
      <c r="L337" s="37">
        <f t="shared" ca="1" si="163"/>
        <v>13.322276784032962</v>
      </c>
      <c r="M337" s="37">
        <f t="shared" ca="1" si="163"/>
        <v>14.690169099594439</v>
      </c>
      <c r="N337" s="37">
        <f t="shared" ca="1" si="163"/>
        <v>15.998714450482339</v>
      </c>
      <c r="O337" s="37">
        <f t="shared" ca="1" si="163"/>
        <v>17.23343922639808</v>
      </c>
      <c r="P337" s="37">
        <f t="shared" ca="1" si="163"/>
        <v>18.381739524863505</v>
      </c>
      <c r="Q337" s="37">
        <f t="shared" ca="1" si="163"/>
        <v>19.418504188994643</v>
      </c>
      <c r="R337" s="37">
        <f t="shared" ca="1" si="163"/>
        <v>20.48098918622135</v>
      </c>
      <c r="S337" s="37">
        <f t="shared" ca="1" si="163"/>
        <v>21.5745155122979</v>
      </c>
      <c r="T337" s="37">
        <f t="shared" ca="1" si="163"/>
        <v>22.701010995702134</v>
      </c>
      <c r="U337" s="37">
        <f t="shared" ca="1" si="163"/>
        <v>23.862405180055589</v>
      </c>
    </row>
    <row r="338" spans="1:21" ht="15" x14ac:dyDescent="0.25">
      <c r="A338" s="2" t="s">
        <v>549</v>
      </c>
      <c r="B338" s="4" t="str">
        <f>$B$37</f>
        <v>From Fiscal</v>
      </c>
      <c r="D338" s="39">
        <f>'Fiscal Forecasts'!D$114</f>
        <v>11.981999999999999</v>
      </c>
      <c r="E338" s="39">
        <f>'Fiscal Forecasts'!E$114</f>
        <v>15.617000000000001</v>
      </c>
      <c r="F338" s="39">
        <f>'Fiscal Forecasts'!F$114</f>
        <v>18.731999999999999</v>
      </c>
      <c r="G338" s="38">
        <f>'Fiscal Forecasts'!G$114</f>
        <v>18.068000000000001</v>
      </c>
      <c r="H338" s="38">
        <f>'Fiscal Forecasts'!H$114</f>
        <v>16.975999999999999</v>
      </c>
      <c r="I338" s="38">
        <f>'Fiscal Forecasts'!I$114</f>
        <v>16.87</v>
      </c>
      <c r="J338" s="38">
        <f>'Fiscal Forecasts'!J$114</f>
        <v>16.974</v>
      </c>
      <c r="K338" s="38">
        <f>'Fiscal Forecasts'!K$114</f>
        <v>16.704999999999998</v>
      </c>
      <c r="L338" s="7">
        <f ca="1">SUM(L$337,((K$338-K$337)/K$13+ IF(L$2&gt;0,L$2*IF(L$6=OFFSET(Assumptions!$B$8,0,$C$1),(SUMPRODUCT(OFFSET(K$338,0,0,1,-OFFSET(Assumptions!$B$84,0,$C$1)),OFFSET(K$15,0,0,1,-OFFSET(Assumptions!$B$84,0,$C$1)))-SUMPRODUCT(OFFSET(K$337,0,0,1,-OFFSET(Assumptions!$B$84,0,$C$1)),OFFSET(K$15,0,0,1,-OFFSET(Assumptions!$B$84,0,$C$1))))/OFFSET(Assumptions!$B$84,0,$C$1)-(K$338-K$337)/K$13,((K$338-K$337)/K$13-(J$338-J$337)/J$13)/K$2),0))*L$13)</f>
        <v>16.255428314680405</v>
      </c>
      <c r="M338" s="7">
        <f ca="1">SUM(M$337,((L$338-L$337)/L$13+ IF(M$2&gt;0,M$2*IF(M$6=OFFSET(Assumptions!$B$8,0,$C$1),(SUMPRODUCT(OFFSET(L$338,0,0,1,-OFFSET(Assumptions!$B$84,0,$C$1)),OFFSET(L$15,0,0,1,-OFFSET(Assumptions!$B$84,0,$C$1)))-SUMPRODUCT(OFFSET(L$337,0,0,1,-OFFSET(Assumptions!$B$84,0,$C$1)),OFFSET(L$15,0,0,1,-OFFSET(Assumptions!$B$84,0,$C$1))))/OFFSET(Assumptions!$B$84,0,$C$1)-(L$338-L$337)/L$13,((L$338-L$337)/L$13-(K$338-K$337)/K$13)/L$2),0))*M$13)</f>
        <v>17.764728621910365</v>
      </c>
      <c r="N338" s="7">
        <f ca="1">SUM(N$337,((M$338-M$337)/M$13+ IF(N$2&gt;0,N$2*IF(N$6=OFFSET(Assumptions!$B$8,0,$C$1),(SUMPRODUCT(OFFSET(M$338,0,0,1,-OFFSET(Assumptions!$B$84,0,$C$1)),OFFSET(M$15,0,0,1,-OFFSET(Assumptions!$B$84,0,$C$1)))-SUMPRODUCT(OFFSET(M$337,0,0,1,-OFFSET(Assumptions!$B$84,0,$C$1)),OFFSET(M$15,0,0,1,-OFFSET(Assumptions!$B$84,0,$C$1))))/OFFSET(Assumptions!$B$84,0,$C$1)-(M$338-M$337)/M$13,((M$338-M$337)/M$13-(L$338-L$337)/L$13)/M$2),0))*N$13)</f>
        <v>19.216278565837683</v>
      </c>
      <c r="O338" s="7">
        <f ca="1">SUM(O$337,((N$338-N$337)/N$13+ IF(O$2&gt;0,O$2*IF(O$6=OFFSET(Assumptions!$B$8,0,$C$1),(SUMPRODUCT(OFFSET(N$338,0,0,1,-OFFSET(Assumptions!$B$84,0,$C$1)),OFFSET(N$15,0,0,1,-OFFSET(Assumptions!$B$84,0,$C$1)))-SUMPRODUCT(OFFSET(N$337,0,0,1,-OFFSET(Assumptions!$B$84,0,$C$1)),OFFSET(N$15,0,0,1,-OFFSET(Assumptions!$B$84,0,$C$1))))/OFFSET(Assumptions!$B$84,0,$C$1)-(N$338-N$337)/N$13,((N$338-N$337)/N$13-(M$338-M$337)/M$13)/N$2),0))*O$13)</f>
        <v>20.595951441240754</v>
      </c>
      <c r="P338" s="7">
        <f ca="1">SUM(P$337,((O$338-O$337)/O$13+ IF(P$2&gt;0,P$2*IF(P$6=OFFSET(Assumptions!$B$8,0,$C$1),(SUMPRODUCT(OFFSET(O$338,0,0,1,-OFFSET(Assumptions!$B$84,0,$C$1)),OFFSET(O$15,0,0,1,-OFFSET(Assumptions!$B$84,0,$C$1)))-SUMPRODUCT(OFFSET(O$337,0,0,1,-OFFSET(Assumptions!$B$84,0,$C$1)),OFFSET(O$15,0,0,1,-OFFSET(Assumptions!$B$84,0,$C$1))))/OFFSET(Assumptions!$B$84,0,$C$1)-(O$338-O$337)/O$13,((O$338-O$337)/O$13-(N$338-N$337)/N$13)/O$2),0))*P$13)</f>
        <v>21.892161706600902</v>
      </c>
      <c r="Q338" s="7">
        <f ca="1">SUM(Q$337,((P$338-P$337)/P$13+ IF(Q$2&gt;0,Q$2*IF(Q$6=OFFSET(Assumptions!$B$8,0,$C$1),(SUMPRODUCT(OFFSET(P$338,0,0,1,-OFFSET(Assumptions!$B$84,0,$C$1)),OFFSET(P$15,0,0,1,-OFFSET(Assumptions!$B$84,0,$C$1)))-SUMPRODUCT(OFFSET(P$337,0,0,1,-OFFSET(Assumptions!$B$84,0,$C$1)),OFFSET(P$15,0,0,1,-OFFSET(Assumptions!$B$84,0,$C$1))))/OFFSET(Assumptions!$B$84,0,$C$1)-(P$338-P$337)/P$13,((P$338-P$337)/P$13-(O$338-O$337)/O$13)/P$2),0))*Q$13)</f>
        <v>23.07976767694506</v>
      </c>
      <c r="R338" s="7">
        <f ca="1">SUM(R$337,((Q$338-Q$337)/Q$13+ IF(R$2&gt;0,R$2*IF(R$6=OFFSET(Assumptions!$B$8,0,$C$1),(SUMPRODUCT(OFFSET(Q$338,0,0,1,-OFFSET(Assumptions!$B$84,0,$C$1)),OFFSET(Q$15,0,0,1,-OFFSET(Assumptions!$B$84,0,$C$1)))-SUMPRODUCT(OFFSET(Q$337,0,0,1,-OFFSET(Assumptions!$B$84,0,$C$1)),OFFSET(Q$15,0,0,1,-OFFSET(Assumptions!$B$84,0,$C$1))))/OFFSET(Assumptions!$B$84,0,$C$1)-(Q$338-Q$337)/Q$13,((Q$338-Q$337)/Q$13-(P$338-P$337)/P$13)/Q$2),0))*R$13)</f>
        <v>24.29785585285676</v>
      </c>
      <c r="S338" s="7">
        <f ca="1">SUM(S$337,((R$338-R$337)/R$13+ IF(S$2&gt;0,S$2*IF(S$6=OFFSET(Assumptions!$B$8,0,$C$1),(SUMPRODUCT(OFFSET(R$338,0,0,1,-OFFSET(Assumptions!$B$84,0,$C$1)),OFFSET(R$15,0,0,1,-OFFSET(Assumptions!$B$84,0,$C$1)))-SUMPRODUCT(OFFSET(R$337,0,0,1,-OFFSET(Assumptions!$B$84,0,$C$1)),OFFSET(R$15,0,0,1,-OFFSET(Assumptions!$B$84,0,$C$1))))/OFFSET(Assumptions!$B$84,0,$C$1)-(R$338-R$337)/R$13,((R$338-R$337)/R$13-(Q$338-Q$337)/Q$13)/R$2),0))*S$13)</f>
        <v>25.552210660538272</v>
      </c>
      <c r="T338" s="7">
        <f ca="1">SUM(T$337,((S$338-S$337)/S$13+ IF(T$2&gt;0,T$2*IF(T$6=OFFSET(Assumptions!$B$8,0,$C$1),(SUMPRODUCT(OFFSET(S$338,0,0,1,-OFFSET(Assumptions!$B$84,0,$C$1)),OFFSET(S$15,0,0,1,-OFFSET(Assumptions!$B$84,0,$C$1)))-SUMPRODUCT(OFFSET(S$337,0,0,1,-OFFSET(Assumptions!$B$84,0,$C$1)),OFFSET(S$15,0,0,1,-OFFSET(Assumptions!$B$84,0,$C$1))))/OFFSET(Assumptions!$B$84,0,$C$1)-(S$338-S$337)/S$13,((S$338-S$337)/S$13-(R$338-R$337)/R$13)/S$2),0))*T$13)</f>
        <v>26.844906279019661</v>
      </c>
      <c r="U338" s="7">
        <f ca="1">SUM(U$337,((T$338-T$337)/T$13+ IF(U$2&gt;0,U$2*IF(U$6=OFFSET(Assumptions!$B$8,0,$C$1),(SUMPRODUCT(OFFSET(T$338,0,0,1,-OFFSET(Assumptions!$B$84,0,$C$1)),OFFSET(T$15,0,0,1,-OFFSET(Assumptions!$B$84,0,$C$1)))-SUMPRODUCT(OFFSET(T$337,0,0,1,-OFFSET(Assumptions!$B$84,0,$C$1)),OFFSET(T$15,0,0,1,-OFFSET(Assumptions!$B$84,0,$C$1))))/OFFSET(Assumptions!$B$84,0,$C$1)-(T$338-T$337)/T$13,((T$338-T$337)/T$13-(S$338-S$337)/S$13)/T$2),0))*U$13)</f>
        <v>28.178374665181</v>
      </c>
    </row>
    <row r="339" spans="1:21" ht="15" x14ac:dyDescent="0.25">
      <c r="A339" s="2"/>
      <c r="B339" s="4"/>
      <c r="D339" s="7"/>
      <c r="E339" s="7"/>
      <c r="F339" s="7"/>
      <c r="G339" s="7"/>
      <c r="H339" s="7"/>
      <c r="I339" s="7"/>
      <c r="J339" s="7"/>
      <c r="K339" s="7"/>
      <c r="L339" s="7"/>
      <c r="M339" s="7"/>
      <c r="N339" s="7"/>
      <c r="O339" s="7"/>
      <c r="P339" s="7"/>
      <c r="Q339" s="7"/>
      <c r="R339" s="7"/>
      <c r="S339" s="7"/>
      <c r="T339" s="7"/>
      <c r="U339" s="7"/>
    </row>
    <row r="340" spans="1:21" ht="15" x14ac:dyDescent="0.25">
      <c r="A340" s="18" t="s">
        <v>213</v>
      </c>
      <c r="B340" s="4"/>
      <c r="D340" s="56"/>
      <c r="E340" s="56"/>
      <c r="F340" s="56"/>
      <c r="G340" s="56"/>
      <c r="H340" s="56"/>
      <c r="I340" s="56"/>
      <c r="J340" s="56"/>
      <c r="K340" s="56"/>
      <c r="L340" s="56"/>
      <c r="M340" s="56"/>
      <c r="N340" s="56"/>
      <c r="O340" s="56"/>
      <c r="P340" s="56"/>
      <c r="Q340" s="56"/>
      <c r="R340" s="56"/>
      <c r="S340" s="56"/>
      <c r="T340" s="56"/>
      <c r="U340" s="56"/>
    </row>
    <row r="341" spans="1:21" x14ac:dyDescent="0.2">
      <c r="A341" s="1" t="s">
        <v>550</v>
      </c>
      <c r="B341" s="4"/>
      <c r="D341" s="14">
        <f t="shared" ref="D341:K341" si="164">D$375-D$74</f>
        <v>1.5050000000000026</v>
      </c>
      <c r="E341" s="14">
        <f t="shared" si="164"/>
        <v>0.78300000000000125</v>
      </c>
      <c r="F341" s="14">
        <f t="shared" si="164"/>
        <v>1.4840000000000018</v>
      </c>
      <c r="G341" s="15">
        <f t="shared" si="164"/>
        <v>1.4909999999999997</v>
      </c>
      <c r="H341" s="15">
        <f t="shared" si="164"/>
        <v>1.6510000000000034</v>
      </c>
      <c r="I341" s="15">
        <f t="shared" si="164"/>
        <v>1.5349999999999966</v>
      </c>
      <c r="J341" s="15">
        <f t="shared" si="164"/>
        <v>1.3350000000000009</v>
      </c>
      <c r="K341" s="15">
        <f t="shared" si="164"/>
        <v>1.0180000000000007</v>
      </c>
      <c r="L341" s="6">
        <f ca="1">SUM(K$341,L$448-K$448)</f>
        <v>1.1828896574778438</v>
      </c>
      <c r="M341" s="6">
        <f t="shared" ref="M341:U341" ca="1" si="165">SUM(L$341,M$448-L$448)</f>
        <v>1.3561256982629237</v>
      </c>
      <c r="N341" s="6">
        <f t="shared" ca="1" si="165"/>
        <v>1.5368974164732547</v>
      </c>
      <c r="O341" s="6">
        <f t="shared" ca="1" si="165"/>
        <v>1.7244405829861917</v>
      </c>
      <c r="P341" s="6">
        <f t="shared" ca="1" si="165"/>
        <v>1.9187077941877031</v>
      </c>
      <c r="Q341" s="6">
        <f t="shared" ca="1" si="165"/>
        <v>2.1165589504401776</v>
      </c>
      <c r="R341" s="6">
        <f t="shared" ca="1" si="165"/>
        <v>2.3181689931060716</v>
      </c>
      <c r="S341" s="6">
        <f t="shared" ca="1" si="165"/>
        <v>2.5249591199345329</v>
      </c>
      <c r="T341" s="6">
        <f t="shared" ca="1" si="165"/>
        <v>2.7374113711401966</v>
      </c>
      <c r="U341" s="6">
        <f t="shared" ca="1" si="165"/>
        <v>2.9556270074165063</v>
      </c>
    </row>
    <row r="342" spans="1:21" x14ac:dyDescent="0.2">
      <c r="A342" s="1" t="s">
        <v>347</v>
      </c>
      <c r="B342" s="4" t="str">
        <f>$B$37</f>
        <v>From Fiscal</v>
      </c>
      <c r="D342" s="14">
        <f>'Fiscal Forecasts'!D$303</f>
        <v>8.9570000000000007</v>
      </c>
      <c r="E342" s="14">
        <f>'Fiscal Forecasts'!E$303</f>
        <v>9.1609999999999996</v>
      </c>
      <c r="F342" s="14">
        <f>'Fiscal Forecasts'!F$303</f>
        <v>10.313000000000001</v>
      </c>
      <c r="G342" s="15">
        <f>'Fiscal Forecasts'!G$303</f>
        <v>10.507</v>
      </c>
      <c r="H342" s="15">
        <f>'Fiscal Forecasts'!H$303</f>
        <v>11.148</v>
      </c>
      <c r="I342" s="15">
        <f>'Fiscal Forecasts'!I$303</f>
        <v>11.704000000000001</v>
      </c>
      <c r="J342" s="15">
        <f>'Fiscal Forecasts'!J$303</f>
        <v>12.391999999999999</v>
      </c>
      <c r="K342" s="15">
        <f>'Fiscal Forecasts'!K$303</f>
        <v>13.061999999999999</v>
      </c>
      <c r="L342" s="6">
        <f ca="1">K$342*L$132/K$132</f>
        <v>13.625219805934995</v>
      </c>
      <c r="M342" s="6">
        <f t="shared" ref="M342:U342" ca="1" si="166">L$342*M$132/L$132</f>
        <v>14.294198796136344</v>
      </c>
      <c r="N342" s="6">
        <f t="shared" ca="1" si="166"/>
        <v>14.93112412774324</v>
      </c>
      <c r="O342" s="6">
        <f t="shared" ca="1" si="166"/>
        <v>15.584358524344808</v>
      </c>
      <c r="P342" s="6">
        <f t="shared" ca="1" si="166"/>
        <v>16.259775463700404</v>
      </c>
      <c r="Q342" s="6">
        <f t="shared" ca="1" si="166"/>
        <v>16.958450905769631</v>
      </c>
      <c r="R342" s="6">
        <f t="shared" ca="1" si="166"/>
        <v>17.679182662769826</v>
      </c>
      <c r="S342" s="6">
        <f t="shared" ca="1" si="166"/>
        <v>18.424117278517475</v>
      </c>
      <c r="T342" s="6">
        <f t="shared" ca="1" si="166"/>
        <v>19.193932627921885</v>
      </c>
      <c r="U342" s="6">
        <f t="shared" ca="1" si="166"/>
        <v>19.990955817624645</v>
      </c>
    </row>
    <row r="343" spans="1:21" x14ac:dyDescent="0.2">
      <c r="A343" s="1" t="s">
        <v>551</v>
      </c>
      <c r="B343" s="4" t="str">
        <f>$B$37</f>
        <v>From Fiscal</v>
      </c>
      <c r="D343" s="14">
        <f>'Fiscal Forecasts'!D$168-SUM(D$341:D$342)</f>
        <v>1.8589999999999964</v>
      </c>
      <c r="E343" s="14">
        <f>'Fiscal Forecasts'!E$168-SUM(E$341:E$342)</f>
        <v>2.2769999999999992</v>
      </c>
      <c r="F343" s="14">
        <f>'Fiscal Forecasts'!F$168-SUM(F$341:F$342)</f>
        <v>2.0289999999999981</v>
      </c>
      <c r="G343" s="15">
        <f>'Fiscal Forecasts'!G$168-SUM(G$341:G$342)</f>
        <v>1.8800000000000008</v>
      </c>
      <c r="H343" s="15">
        <f>'Fiscal Forecasts'!H$168-SUM(H$341:H$342)</f>
        <v>1.9479999999999968</v>
      </c>
      <c r="I343" s="15">
        <f>'Fiscal Forecasts'!I$168-SUM(I$341:I$342)</f>
        <v>2.0180000000000025</v>
      </c>
      <c r="J343" s="15">
        <f>'Fiscal Forecasts'!J$168-SUM(J$341:J$342)</f>
        <v>2.0799999999999983</v>
      </c>
      <c r="K343" s="15">
        <f>'Fiscal Forecasts'!K$168-SUM(K$341:K$342)</f>
        <v>2.1549999999999994</v>
      </c>
      <c r="L343" s="6">
        <f ca="1">SUM(K$343,L$450-K$450,L$470-K$470)</f>
        <v>2.3744805516447762</v>
      </c>
      <c r="M343" s="6">
        <f t="shared" ref="M343:U343" ca="1" si="167">SUM(L$343,M$450-L$450,M$470-L$470)</f>
        <v>2.5990501402361317</v>
      </c>
      <c r="N343" s="6">
        <f t="shared" ca="1" si="167"/>
        <v>2.8289178253653717</v>
      </c>
      <c r="O343" s="6">
        <f t="shared" ca="1" si="167"/>
        <v>3.0638161479838564</v>
      </c>
      <c r="P343" s="6">
        <f t="shared" ca="1" si="167"/>
        <v>3.303401443286992</v>
      </c>
      <c r="Q343" s="6">
        <f t="shared" ca="1" si="167"/>
        <v>3.5478031145109545</v>
      </c>
      <c r="R343" s="6">
        <f t="shared" ca="1" si="167"/>
        <v>3.796572557383056</v>
      </c>
      <c r="S343" s="6">
        <f t="shared" ca="1" si="167"/>
        <v>4.0495940553087291</v>
      </c>
      <c r="T343" s="6">
        <f t="shared" ca="1" si="167"/>
        <v>4.3071374228425796</v>
      </c>
      <c r="U343" s="6">
        <f t="shared" ca="1" si="167"/>
        <v>4.5686060657298517</v>
      </c>
    </row>
    <row r="344" spans="1:21" ht="15" x14ac:dyDescent="0.25">
      <c r="A344" s="2" t="s">
        <v>552</v>
      </c>
      <c r="B344" s="4"/>
      <c r="D344" s="34">
        <f t="shared" ref="D344:U344" si="168">SUM(D$341:D$343)</f>
        <v>12.321</v>
      </c>
      <c r="E344" s="34">
        <f t="shared" si="168"/>
        <v>12.221</v>
      </c>
      <c r="F344" s="34">
        <f t="shared" si="168"/>
        <v>13.826000000000001</v>
      </c>
      <c r="G344" s="33">
        <f t="shared" si="168"/>
        <v>13.878</v>
      </c>
      <c r="H344" s="33">
        <f t="shared" si="168"/>
        <v>14.747</v>
      </c>
      <c r="I344" s="33">
        <f t="shared" si="168"/>
        <v>15.257</v>
      </c>
      <c r="J344" s="33">
        <f t="shared" si="168"/>
        <v>15.806999999999999</v>
      </c>
      <c r="K344" s="33">
        <f t="shared" si="168"/>
        <v>16.234999999999999</v>
      </c>
      <c r="L344" s="37">
        <f t="shared" ca="1" si="168"/>
        <v>17.182590015057613</v>
      </c>
      <c r="M344" s="37">
        <f t="shared" ca="1" si="168"/>
        <v>18.249374634635398</v>
      </c>
      <c r="N344" s="37">
        <f t="shared" ca="1" si="168"/>
        <v>19.296939369581867</v>
      </c>
      <c r="O344" s="37">
        <f t="shared" ca="1" si="168"/>
        <v>20.372615255314855</v>
      </c>
      <c r="P344" s="37">
        <f t="shared" ca="1" si="168"/>
        <v>21.481884701175098</v>
      </c>
      <c r="Q344" s="37">
        <f t="shared" ca="1" si="168"/>
        <v>22.622812970720766</v>
      </c>
      <c r="R344" s="37">
        <f t="shared" ca="1" si="168"/>
        <v>23.793924213258951</v>
      </c>
      <c r="S344" s="37">
        <f t="shared" ca="1" si="168"/>
        <v>24.998670453760738</v>
      </c>
      <c r="T344" s="37">
        <f t="shared" ca="1" si="168"/>
        <v>26.238481421904662</v>
      </c>
      <c r="U344" s="37">
        <f t="shared" ca="1" si="168"/>
        <v>27.515188890771004</v>
      </c>
    </row>
    <row r="345" spans="1:21" ht="15" x14ac:dyDescent="0.25">
      <c r="A345" s="2" t="s">
        <v>553</v>
      </c>
      <c r="B345" s="4" t="str">
        <f>$B$37</f>
        <v>From Fiscal</v>
      </c>
      <c r="D345" s="39">
        <f>'Fiscal Forecasts'!D$115</f>
        <v>17.602</v>
      </c>
      <c r="E345" s="39">
        <f>'Fiscal Forecasts'!E$115</f>
        <v>16.789000000000001</v>
      </c>
      <c r="F345" s="39">
        <f>'Fiscal Forecasts'!F$115</f>
        <v>18.529</v>
      </c>
      <c r="G345" s="38">
        <f>'Fiscal Forecasts'!G$115</f>
        <v>19.317</v>
      </c>
      <c r="H345" s="38">
        <f>'Fiscal Forecasts'!H$115</f>
        <v>20.77</v>
      </c>
      <c r="I345" s="38">
        <f>'Fiscal Forecasts'!I$115</f>
        <v>21.844000000000001</v>
      </c>
      <c r="J345" s="38">
        <f>'Fiscal Forecasts'!J$115</f>
        <v>23.48</v>
      </c>
      <c r="K345" s="38">
        <f>'Fiscal Forecasts'!K$115</f>
        <v>24.757000000000001</v>
      </c>
      <c r="L345" s="7">
        <f ca="1">K$345+L$344-K$344+L$452-L$451-(K$452-K$451)+L$471-L$470-(K$471-K$470)</f>
        <v>25.919482019965827</v>
      </c>
      <c r="M345" s="7">
        <f t="shared" ref="M345:U345" ca="1" si="169">L$345+M$344-L$344+M$452-M$451-(L$452-L$451)+M$471-M$470-(L$471-L$470)</f>
        <v>27.20614128799042</v>
      </c>
      <c r="N345" s="7">
        <f t="shared" ca="1" si="169"/>
        <v>28.478768003831561</v>
      </c>
      <c r="O345" s="7">
        <f t="shared" ca="1" si="169"/>
        <v>29.784431335462514</v>
      </c>
      <c r="P345" s="7">
        <f t="shared" ca="1" si="169"/>
        <v>31.12827721221101</v>
      </c>
      <c r="Q345" s="7">
        <f t="shared" ca="1" si="169"/>
        <v>32.508497595516424</v>
      </c>
      <c r="R345" s="7">
        <f t="shared" ca="1" si="169"/>
        <v>33.923177409110529</v>
      </c>
      <c r="S345" s="7">
        <f t="shared" ca="1" si="169"/>
        <v>35.375655380586487</v>
      </c>
      <c r="T345" s="7">
        <f t="shared" ca="1" si="169"/>
        <v>36.867625413328227</v>
      </c>
      <c r="U345" s="7">
        <f t="shared" ca="1" si="169"/>
        <v>38.400335158795428</v>
      </c>
    </row>
    <row r="346" spans="1:21" ht="15" x14ac:dyDescent="0.25">
      <c r="A346" s="2"/>
      <c r="B346" s="4"/>
      <c r="D346" s="6"/>
      <c r="E346" s="6"/>
      <c r="F346" s="6"/>
      <c r="L346" s="7"/>
    </row>
    <row r="347" spans="1:21" ht="15" x14ac:dyDescent="0.25">
      <c r="A347" s="18" t="s">
        <v>214</v>
      </c>
      <c r="B347" s="4"/>
      <c r="D347" s="39"/>
      <c r="E347" s="39"/>
      <c r="F347" s="39"/>
      <c r="G347" s="38"/>
      <c r="H347" s="38"/>
      <c r="I347" s="38"/>
      <c r="J347" s="38"/>
      <c r="K347" s="38"/>
      <c r="L347" s="7"/>
      <c r="M347" s="7"/>
      <c r="N347" s="7"/>
      <c r="O347" s="7"/>
      <c r="P347" s="7"/>
      <c r="Q347" s="7"/>
      <c r="R347" s="7"/>
      <c r="S347" s="7"/>
      <c r="T347" s="7"/>
      <c r="U347" s="7"/>
    </row>
    <row r="348" spans="1:21" x14ac:dyDescent="0.2">
      <c r="A348" s="1" t="s">
        <v>558</v>
      </c>
      <c r="B348" s="4"/>
      <c r="D348" s="14">
        <f ca="1">OFFSET(Assumptions!$B$72,0,$C$1)*D$373</f>
        <v>12.694460000000001</v>
      </c>
      <c r="E348" s="14">
        <f ca="1">OFFSET(Assumptions!$B$72,0,$C$1)*E$373</f>
        <v>12.69661</v>
      </c>
      <c r="F348" s="14">
        <f ca="1">OFFSET(Assumptions!$B$72,0,$C$1)*F$373</f>
        <v>14.837579999999999</v>
      </c>
      <c r="G348" s="15">
        <f ca="1">OFFSET(Assumptions!$B$72,0,$C$1)*G$373</f>
        <v>16.711950000000002</v>
      </c>
      <c r="H348" s="15">
        <f ca="1">OFFSET(Assumptions!$B$72,0,$C$1)*H$373</f>
        <v>18.256940000000004</v>
      </c>
      <c r="I348" s="15">
        <f ca="1">OFFSET(Assumptions!$B$72,0,$C$1)*I$373</f>
        <v>20.124000000000002</v>
      </c>
      <c r="J348" s="15">
        <f ca="1">OFFSET(Assumptions!$B$72,0,$C$1)*J$373</f>
        <v>22.422779999999999</v>
      </c>
      <c r="K348" s="15">
        <f ca="1">OFFSET(Assumptions!$B$72,0,$C$1)*K$373</f>
        <v>25.011810000000001</v>
      </c>
      <c r="L348" s="6">
        <f ca="1">OFFSET(Assumptions!$B$72,0,$C$1)/SUM(OFFSET(Assumptions!$B$71,0,$C$1,6,1))*SUM(L$373,L$69,-L$341,L$448)</f>
        <v>27.744482138069067</v>
      </c>
      <c r="M348" s="6">
        <f ca="1">OFFSET(Assumptions!$B$72,0,$C$1)/SUM(OFFSET(Assumptions!$B$71,0,$C$1,6,1))*SUM(M$373,M$69,-M$341,M$448)</f>
        <v>30.376388498566005</v>
      </c>
      <c r="N348" s="6">
        <f ca="1">OFFSET(Assumptions!$B$72,0,$C$1)/SUM(OFFSET(Assumptions!$B$71,0,$C$1,6,1))*SUM(N$373,N$69,-N$341,N$448)</f>
        <v>33.11370032619925</v>
      </c>
      <c r="O348" s="6">
        <f ca="1">OFFSET(Assumptions!$B$72,0,$C$1)/SUM(OFFSET(Assumptions!$B$71,0,$C$1,6,1))*SUM(O$373,O$69,-O$341,O$448)</f>
        <v>35.95382981381951</v>
      </c>
      <c r="P348" s="6">
        <f ca="1">OFFSET(Assumptions!$B$72,0,$C$1)/SUM(OFFSET(Assumptions!$B$71,0,$C$1,6,1))*SUM(P$373,P$69,-P$341,P$448)</f>
        <v>38.89598069816784</v>
      </c>
      <c r="Q348" s="6">
        <f ca="1">OFFSET(Assumptions!$B$72,0,$C$1)/SUM(OFFSET(Assumptions!$B$71,0,$C$1,6,1))*SUM(Q$373,Q$69,-Q$341,Q$448)</f>
        <v>41.894461760199178</v>
      </c>
      <c r="R348" s="6">
        <f ca="1">OFFSET(Assumptions!$B$72,0,$C$1)/SUM(OFFSET(Assumptions!$B$71,0,$C$1,6,1))*SUM(R$373,R$69,-R$341,R$448)</f>
        <v>44.949927560674141</v>
      </c>
      <c r="S348" s="6">
        <f ca="1">OFFSET(Assumptions!$B$72,0,$C$1)/SUM(OFFSET(Assumptions!$B$71,0,$C$1,6,1))*SUM(S$373,S$69,-S$341,S$448)</f>
        <v>48.083069943226214</v>
      </c>
      <c r="T348" s="6">
        <f ca="1">OFFSET(Assumptions!$B$72,0,$C$1)/SUM(OFFSET(Assumptions!$B$71,0,$C$1,6,1))*SUM(T$373,T$69,-T$341,T$448)</f>
        <v>51.301753492291532</v>
      </c>
      <c r="U348" s="6">
        <f ca="1">OFFSET(Assumptions!$B$72,0,$C$1)/SUM(OFFSET(Assumptions!$B$71,0,$C$1,6,1))*SUM(U$373,U$69,-U$341,U$448)</f>
        <v>54.607775748912317</v>
      </c>
    </row>
    <row r="349" spans="1:21" x14ac:dyDescent="0.2">
      <c r="A349" s="1" t="s">
        <v>559</v>
      </c>
      <c r="B349" s="4" t="str">
        <f>$B$37</f>
        <v>From Fiscal</v>
      </c>
      <c r="D349" s="14">
        <f ca="1">'Fiscal Forecasts'!D$169-D$348</f>
        <v>24.395540000000004</v>
      </c>
      <c r="E349" s="14">
        <f ca="1">'Fiscal Forecasts'!E$169-E$348</f>
        <v>21.689390000000003</v>
      </c>
      <c r="F349" s="14">
        <f ca="1">'Fiscal Forecasts'!F$169-F$348</f>
        <v>17.288419999999999</v>
      </c>
      <c r="G349" s="15">
        <f ca="1">'Fiscal Forecasts'!G$169-G$348</f>
        <v>16.149049999999995</v>
      </c>
      <c r="H349" s="15">
        <f ca="1">'Fiscal Forecasts'!H$169-H$348</f>
        <v>6.381059999999998</v>
      </c>
      <c r="I349" s="15">
        <f ca="1">'Fiscal Forecasts'!I$169-I$348</f>
        <v>6.5139999999999993</v>
      </c>
      <c r="J349" s="15">
        <f ca="1">'Fiscal Forecasts'!J$169-J$348</f>
        <v>3.209220000000002</v>
      </c>
      <c r="K349" s="15">
        <f ca="1">'Fiscal Forecasts'!K$169-K$348</f>
        <v>8.4161899999999967</v>
      </c>
      <c r="L349" s="6">
        <f ca="1">(K$349/K$13+ IF(L$2&gt;0,L$2*IF(L$6=OFFSET(Assumptions!$B$8,0,$C$1),SUMPRODUCT(OFFSET(K$349,0,0,1,-OFFSET(Assumptions!$B$84,0,$C$1)),OFFSET(K$15,0,0,1,-OFFSET(Assumptions!$B$84,0,$C$1)))/OFFSET(Assumptions!$B$84,0,$C$1)-K$349/K$13,(K$349/K$13-J$349/J$13)/K$2),0))*L$13</f>
        <v>8.0713627613695813</v>
      </c>
      <c r="M349" s="6">
        <f ca="1">(L$349/L$13+ IF(M$2&gt;0,M$2*IF(M$6=OFFSET(Assumptions!$B$8,0,$C$1),SUMPRODUCT(OFFSET(L$349,0,0,1,-OFFSET(Assumptions!$B$84,0,$C$1)),OFFSET(L$15,0,0,1,-OFFSET(Assumptions!$B$84,0,$C$1)))/OFFSET(Assumptions!$B$84,0,$C$1)-L$349/L$13,(L$349/L$13-K$349/K$13)/L$2),0))*M$13</f>
        <v>7.8207893444767098</v>
      </c>
      <c r="N349" s="6">
        <f ca="1">(M$349/M$13+ IF(N$2&gt;0,N$2*IF(N$6=OFFSET(Assumptions!$B$8,0,$C$1),SUMPRODUCT(OFFSET(M$349,0,0,1,-OFFSET(Assumptions!$B$84,0,$C$1)),OFFSET(M$15,0,0,1,-OFFSET(Assumptions!$B$84,0,$C$1)))/OFFSET(Assumptions!$B$84,0,$C$1)-M$349/M$13,(M$349/M$13-L$349/L$13)/M$2),0))*N$13</f>
        <v>7.6846517905685578</v>
      </c>
      <c r="O349" s="6">
        <f ca="1">(N$349/N$13+ IF(O$2&gt;0,O$2*IF(O$6=OFFSET(Assumptions!$B$8,0,$C$1),SUMPRODUCT(OFFSET(N$349,0,0,1,-OFFSET(Assumptions!$B$84,0,$C$1)),OFFSET(N$15,0,0,1,-OFFSET(Assumptions!$B$84,0,$C$1)))/OFFSET(Assumptions!$B$84,0,$C$1)-N$349/N$13,(N$349/N$13-M$349/M$13)/N$2),0))*O$13</f>
        <v>7.6836403316063526</v>
      </c>
      <c r="P349" s="6">
        <f ca="1">(O$349/O$13+ IF(P$2&gt;0,P$2*IF(P$6=OFFSET(Assumptions!$B$8,0,$C$1),SUMPRODUCT(OFFSET(O$349,0,0,1,-OFFSET(Assumptions!$B$84,0,$C$1)),OFFSET(O$15,0,0,1,-OFFSET(Assumptions!$B$84,0,$C$1)))/OFFSET(Assumptions!$B$84,0,$C$1)-O$349/O$13,(O$349/O$13-N$349/N$13)/O$2),0))*P$13</f>
        <v>7.8407305642381315</v>
      </c>
      <c r="Q349" s="6">
        <f ca="1">(P$349/P$13+ IF(Q$2&gt;0,Q$2*IF(Q$6=OFFSET(Assumptions!$B$8,0,$C$1),SUMPRODUCT(OFFSET(P$349,0,0,1,-OFFSET(Assumptions!$B$84,0,$C$1)),OFFSET(P$15,0,0,1,-OFFSET(Assumptions!$B$84,0,$C$1)))/OFFSET(Assumptions!$B$84,0,$C$1)-P$349/P$13,(P$349/P$13-O$349/O$13)/P$2),0))*Q$13</f>
        <v>8.1776433282147689</v>
      </c>
      <c r="R349" s="6">
        <f ca="1">(Q$349/Q$13+ IF(R$2&gt;0,R$2*IF(R$6=OFFSET(Assumptions!$B$8,0,$C$1),SUMPRODUCT(OFFSET(Q$349,0,0,1,-OFFSET(Assumptions!$B$84,0,$C$1)),OFFSET(Q$15,0,0,1,-OFFSET(Assumptions!$B$84,0,$C$1)))/OFFSET(Assumptions!$B$84,0,$C$1)-Q$349/Q$13,(Q$349/Q$13-P$349/P$13)/Q$2),0))*R$13</f>
        <v>8.5251920092125051</v>
      </c>
      <c r="S349" s="6">
        <f ca="1">(R$349/R$13+ IF(S$2&gt;0,S$2*IF(S$6=OFFSET(Assumptions!$B$8,0,$C$1),SUMPRODUCT(OFFSET(R$349,0,0,1,-OFFSET(Assumptions!$B$84,0,$C$1)),OFFSET(R$15,0,0,1,-OFFSET(Assumptions!$B$84,0,$C$1)))/OFFSET(Assumptions!$B$84,0,$C$1)-R$349/R$13,(R$349/R$13-Q$349/Q$13)/R$2),0))*S$13</f>
        <v>8.8844117058861229</v>
      </c>
      <c r="T349" s="6">
        <f ca="1">(S$349/S$13+ IF(T$2&gt;0,T$2*IF(T$6=OFFSET(Assumptions!$B$8,0,$C$1),SUMPRODUCT(OFFSET(S$349,0,0,1,-OFFSET(Assumptions!$B$84,0,$C$1)),OFFSET(S$15,0,0,1,-OFFSET(Assumptions!$B$84,0,$C$1)))/OFFSET(Assumptions!$B$84,0,$C$1)-S$349/S$13,(S$349/S$13-R$349/R$13)/S$2),0))*T$13</f>
        <v>9.2556293006413455</v>
      </c>
      <c r="U349" s="6">
        <f ca="1">(T$349/T$13+ IF(U$2&gt;0,U$2*IF(U$6=OFFSET(Assumptions!$B$8,0,$C$1),SUMPRODUCT(OFFSET(T$349,0,0,1,-OFFSET(Assumptions!$B$84,0,$C$1)),OFFSET(T$15,0,0,1,-OFFSET(Assumptions!$B$84,0,$C$1)))/OFFSET(Assumptions!$B$84,0,$C$1)-T$349/T$13,(T$349/T$13-S$349/S$13)/T$2),0))*U$13</f>
        <v>9.6399669624903854</v>
      </c>
    </row>
    <row r="350" spans="1:21" ht="15" x14ac:dyDescent="0.25">
      <c r="A350" s="2" t="s">
        <v>560</v>
      </c>
      <c r="B350" s="4"/>
      <c r="D350" s="34">
        <f t="shared" ref="D350:U350" ca="1" si="170">SUM(D$348:D$349)</f>
        <v>37.090000000000003</v>
      </c>
      <c r="E350" s="34">
        <f t="shared" ca="1" si="170"/>
        <v>34.386000000000003</v>
      </c>
      <c r="F350" s="34">
        <f t="shared" ca="1" si="170"/>
        <v>32.125999999999998</v>
      </c>
      <c r="G350" s="33">
        <f t="shared" ca="1" si="170"/>
        <v>32.860999999999997</v>
      </c>
      <c r="H350" s="33">
        <f t="shared" ca="1" si="170"/>
        <v>24.638000000000002</v>
      </c>
      <c r="I350" s="33">
        <f t="shared" ca="1" si="170"/>
        <v>26.638000000000002</v>
      </c>
      <c r="J350" s="33">
        <f t="shared" ca="1" si="170"/>
        <v>25.632000000000001</v>
      </c>
      <c r="K350" s="33">
        <f t="shared" ca="1" si="170"/>
        <v>33.427999999999997</v>
      </c>
      <c r="L350" s="37">
        <f t="shared" ca="1" si="170"/>
        <v>35.815844899438645</v>
      </c>
      <c r="M350" s="37">
        <f t="shared" ca="1" si="170"/>
        <v>38.197177843042716</v>
      </c>
      <c r="N350" s="37">
        <f t="shared" ca="1" si="170"/>
        <v>40.798352116767809</v>
      </c>
      <c r="O350" s="37">
        <f t="shared" ca="1" si="170"/>
        <v>43.637470145425866</v>
      </c>
      <c r="P350" s="37">
        <f t="shared" ca="1" si="170"/>
        <v>46.736711262405969</v>
      </c>
      <c r="Q350" s="37">
        <f t="shared" ca="1" si="170"/>
        <v>50.072105088413949</v>
      </c>
      <c r="R350" s="37">
        <f t="shared" ca="1" si="170"/>
        <v>53.475119569886644</v>
      </c>
      <c r="S350" s="37">
        <f t="shared" ca="1" si="170"/>
        <v>56.967481649112337</v>
      </c>
      <c r="T350" s="37">
        <f t="shared" ca="1" si="170"/>
        <v>60.557382792932877</v>
      </c>
      <c r="U350" s="37">
        <f t="shared" ca="1" si="170"/>
        <v>64.247742711402708</v>
      </c>
    </row>
    <row r="351" spans="1:21" x14ac:dyDescent="0.2">
      <c r="A351" s="1" t="s">
        <v>272</v>
      </c>
      <c r="B351" s="4" t="str">
        <f>$B$37</f>
        <v>From Fiscal</v>
      </c>
      <c r="D351" s="14">
        <f>'Fiscal Forecasts'!D$200</f>
        <v>25.789000000000001</v>
      </c>
      <c r="E351" s="14">
        <f>'Fiscal Forecasts'!E$200</f>
        <v>27.709</v>
      </c>
      <c r="F351" s="14">
        <f>'Fiscal Forecasts'!F$200</f>
        <v>28.38</v>
      </c>
      <c r="G351" s="15">
        <f>'Fiscal Forecasts'!G$200</f>
        <v>28.975999999999999</v>
      </c>
      <c r="H351" s="15">
        <f>'Fiscal Forecasts'!H$200</f>
        <v>29.795000000000002</v>
      </c>
      <c r="I351" s="15">
        <f>'Fiscal Forecasts'!I$200</f>
        <v>30.686</v>
      </c>
      <c r="J351" s="15">
        <f>'Fiscal Forecasts'!J$200</f>
        <v>31.445</v>
      </c>
      <c r="K351" s="15">
        <f>'Fiscal Forecasts'!K$200</f>
        <v>32.411999999999999</v>
      </c>
      <c r="L351" s="6">
        <f>K$351*Exogenous!S$28/Exogenous!R$28</f>
        <v>33.664208264894953</v>
      </c>
      <c r="M351" s="6">
        <f>L$351*Exogenous!T$28/Exogenous!S$28</f>
        <v>35.063026712329382</v>
      </c>
      <c r="N351" s="6">
        <f>M$351*Exogenous!U$28/Exogenous!T$28</f>
        <v>36.525139753716502</v>
      </c>
      <c r="O351" s="6">
        <f>N$351*Exogenous!V$28/Exogenous!U$28</f>
        <v>38.133701913803364</v>
      </c>
      <c r="P351" s="6">
        <f>O$351*Exogenous!W$28/Exogenous!V$28</f>
        <v>39.79941189357416</v>
      </c>
      <c r="Q351" s="6">
        <f>P$351*Exogenous!X$28/Exogenous!W$28</f>
        <v>41.652052850784145</v>
      </c>
      <c r="R351" s="6">
        <f>Q$351*Exogenous!Y$28/Exogenous!X$28</f>
        <v>43.556048842508119</v>
      </c>
      <c r="S351" s="6">
        <f>R$351*Exogenous!Z$28/Exogenous!Y$28</f>
        <v>45.610053812328459</v>
      </c>
      <c r="T351" s="6">
        <f>S$351*Exogenous!AA$28/Exogenous!Z$28</f>
        <v>47.714879729738719</v>
      </c>
      <c r="U351" s="6">
        <f>T$351*Exogenous!AB$28/Exogenous!AA$28</f>
        <v>49.98904045325223</v>
      </c>
    </row>
    <row r="352" spans="1:21" x14ac:dyDescent="0.2">
      <c r="A352" s="1" t="s">
        <v>483</v>
      </c>
      <c r="B352" s="4" t="str">
        <f>$B$37</f>
        <v>From Fiscal</v>
      </c>
      <c r="D352" s="14">
        <f>'Fiscal Forecasts'!D$201</f>
        <v>3.8119999999999998</v>
      </c>
      <c r="E352" s="14">
        <f>'Fiscal Forecasts'!E$201</f>
        <v>3.7709999999999999</v>
      </c>
      <c r="F352" s="14">
        <f>'Fiscal Forecasts'!F$201</f>
        <v>3.8250000000000002</v>
      </c>
      <c r="G352" s="15">
        <f>'Fiscal Forecasts'!G$201</f>
        <v>3.4529999999999998</v>
      </c>
      <c r="H352" s="15">
        <f>'Fiscal Forecasts'!H$201</f>
        <v>3.601</v>
      </c>
      <c r="I352" s="15">
        <f>'Fiscal Forecasts'!I$201</f>
        <v>3.5910000000000002</v>
      </c>
      <c r="J352" s="15">
        <f>'Fiscal Forecasts'!J$201</f>
        <v>3.7679999999999998</v>
      </c>
      <c r="K352" s="15">
        <f>'Fiscal Forecasts'!K$201</f>
        <v>3.83</v>
      </c>
      <c r="L352" s="6">
        <f ca="1">(K$352/K$13+ IF(L$2&gt;0,L$2*IF(L$6=OFFSET(Assumptions!$B$8,0,$C$1),SUMPRODUCT(OFFSET(K$352,0,0,1,-OFFSET(Assumptions!$B$84,0,$C$1)),OFFSET(K$15,0,0,1,-OFFSET(Assumptions!$B$84,0,$C$1)))/OFFSET(Assumptions!$B$84,0,$C$1)-K$352/K$13,(K$352/K$13-J$352/J$13)/K$2),0))*L$13</f>
        <v>4.0332690189907634</v>
      </c>
      <c r="M352" s="6">
        <f ca="1">(L$352/L$13+ IF(M$2&gt;0,M$2*IF(M$6=OFFSET(Assumptions!$B$8,0,$C$1),SUMPRODUCT(OFFSET(L$352,0,0,1,-OFFSET(Assumptions!$B$84,0,$C$1)),OFFSET(L$15,0,0,1,-OFFSET(Assumptions!$B$84,0,$C$1)))/OFFSET(Assumptions!$B$84,0,$C$1)-L$352/L$13,(L$352/L$13-K$352/K$13)/L$2),0))*M$13</f>
        <v>4.2369542192444252</v>
      </c>
      <c r="N352" s="6">
        <f ca="1">(M$352/M$13+ IF(N$2&gt;0,N$2*IF(N$6=OFFSET(Assumptions!$B$8,0,$C$1),SUMPRODUCT(OFFSET(M$352,0,0,1,-OFFSET(Assumptions!$B$84,0,$C$1)),OFFSET(M$15,0,0,1,-OFFSET(Assumptions!$B$84,0,$C$1)))/OFFSET(Assumptions!$B$84,0,$C$1)-M$352/M$13,(M$352/M$13-L$352/L$13)/M$2),0))*N$13</f>
        <v>4.4412453104469174</v>
      </c>
      <c r="O352" s="6">
        <f ca="1">(N$352/N$13+ IF(O$2&gt;0,O$2*IF(O$6=OFFSET(Assumptions!$B$8,0,$C$1),SUMPRODUCT(OFFSET(N$352,0,0,1,-OFFSET(Assumptions!$B$84,0,$C$1)),OFFSET(N$15,0,0,1,-OFFSET(Assumptions!$B$84,0,$C$1)))/OFFSET(Assumptions!$B$84,0,$C$1)-N$352/N$13,(N$352/N$13-M$352/M$13)/N$2),0))*O$13</f>
        <v>4.6463342324027508</v>
      </c>
      <c r="P352" s="6">
        <f ca="1">(O$352/O$13+ IF(P$2&gt;0,P$2*IF(P$6=OFFSET(Assumptions!$B$8,0,$C$1),SUMPRODUCT(OFFSET(O$352,0,0,1,-OFFSET(Assumptions!$B$84,0,$C$1)),OFFSET(O$15,0,0,1,-OFFSET(Assumptions!$B$84,0,$C$1)))/OFFSET(Assumptions!$B$84,0,$C$1)-O$352/O$13,(O$352/O$13-N$352/N$13)/O$2),0))*P$13</f>
        <v>4.8533298971920171</v>
      </c>
      <c r="Q352" s="6">
        <f ca="1">(P$352/P$13+ IF(Q$2&gt;0,Q$2*IF(Q$6=OFFSET(Assumptions!$B$8,0,$C$1),SUMPRODUCT(OFFSET(P$352,0,0,1,-OFFSET(Assumptions!$B$84,0,$C$1)),OFFSET(P$15,0,0,1,-OFFSET(Assumptions!$B$84,0,$C$1)))/OFFSET(Assumptions!$B$84,0,$C$1)-P$352/P$13,(P$352/P$13-O$352/O$13)/P$2),0))*Q$13</f>
        <v>5.0618753607501432</v>
      </c>
      <c r="R352" s="6">
        <f ca="1">(Q$352/Q$13+ IF(R$2&gt;0,R$2*IF(R$6=OFFSET(Assumptions!$B$8,0,$C$1),SUMPRODUCT(OFFSET(Q$352,0,0,1,-OFFSET(Assumptions!$B$84,0,$C$1)),OFFSET(Q$15,0,0,1,-OFFSET(Assumptions!$B$84,0,$C$1)))/OFFSET(Assumptions!$B$84,0,$C$1)-Q$352/Q$13,(Q$352/Q$13-P$352/P$13)/Q$2),0))*R$13</f>
        <v>5.2770043452747979</v>
      </c>
      <c r="S352" s="6">
        <f ca="1">(R$352/R$13+ IF(S$2&gt;0,S$2*IF(S$6=OFFSET(Assumptions!$B$8,0,$C$1),SUMPRODUCT(OFFSET(R$352,0,0,1,-OFFSET(Assumptions!$B$84,0,$C$1)),OFFSET(R$15,0,0,1,-OFFSET(Assumptions!$B$84,0,$C$1)))/OFFSET(Assumptions!$B$84,0,$C$1)-R$352/R$13,(R$352/R$13-Q$352/Q$13)/R$2),0))*S$13</f>
        <v>5.4993575659654921</v>
      </c>
      <c r="T352" s="6">
        <f ca="1">(S$352/S$13+ IF(T$2&gt;0,T$2*IF(T$6=OFFSET(Assumptions!$B$8,0,$C$1),SUMPRODUCT(OFFSET(S$352,0,0,1,-OFFSET(Assumptions!$B$84,0,$C$1)),OFFSET(S$15,0,0,1,-OFFSET(Assumptions!$B$84,0,$C$1)))/OFFSET(Assumptions!$B$84,0,$C$1)-S$352/S$13,(S$352/S$13-R$352/R$13)/S$2),0))*T$13</f>
        <v>5.7291373595993385</v>
      </c>
      <c r="U352" s="6">
        <f ca="1">(T$352/T$13+ IF(U$2&gt;0,U$2*IF(U$6=OFFSET(Assumptions!$B$8,0,$C$1),SUMPRODUCT(OFFSET(T$352,0,0,1,-OFFSET(Assumptions!$B$84,0,$C$1)),OFFSET(T$15,0,0,1,-OFFSET(Assumptions!$B$84,0,$C$1)))/OFFSET(Assumptions!$B$84,0,$C$1)-T$352/T$13,(T$352/T$13-S$352/S$13)/T$2),0))*U$13</f>
        <v>5.967038337012923</v>
      </c>
    </row>
    <row r="353" spans="1:21" x14ac:dyDescent="0.2">
      <c r="A353" s="1" t="s">
        <v>484</v>
      </c>
      <c r="B353" s="4" t="str">
        <f>$B$37</f>
        <v>From Fiscal</v>
      </c>
      <c r="D353" s="14">
        <f ca="1">'Fiscal Forecasts'!D$116-SUM(D$350:D$352)</f>
        <v>-12.393000000000001</v>
      </c>
      <c r="E353" s="14">
        <f ca="1">'Fiscal Forecasts'!E$116-SUM(E$350:E$352)</f>
        <v>-12.467999999999996</v>
      </c>
      <c r="F353" s="14">
        <f ca="1">'Fiscal Forecasts'!F$116-SUM(F$350:F$352)</f>
        <v>-13.825000000000003</v>
      </c>
      <c r="G353" s="15">
        <f ca="1">'Fiscal Forecasts'!G$116-SUM(G$350:G$352)</f>
        <v>-15.053999999999995</v>
      </c>
      <c r="H353" s="15">
        <f ca="1">'Fiscal Forecasts'!H$116-SUM(H$350:H$352)</f>
        <v>-15.404000000000003</v>
      </c>
      <c r="I353" s="15">
        <f ca="1">'Fiscal Forecasts'!I$116-SUM(I$350:I$352)</f>
        <v>-15.881</v>
      </c>
      <c r="J353" s="15">
        <f ca="1">'Fiscal Forecasts'!J$116-SUM(J$350:J$352)</f>
        <v>-16.365000000000002</v>
      </c>
      <c r="K353" s="15">
        <f ca="1">'Fiscal Forecasts'!K$116-SUM(K$350:K$352)</f>
        <v>-16.725000000000001</v>
      </c>
      <c r="L353" s="6">
        <f ca="1">IF(L$6=OFFSET(Assumptions!$B$8,0,$C$1),AVERAGE(I$353/I$351,J$353/J$351,K$353/K$351),K$353/K$351)*L$351</f>
        <v>-17.437807560491628</v>
      </c>
      <c r="M353" s="6">
        <f ca="1">IF(M$6=OFFSET(Assumptions!$B$8,0,$C$1),AVERAGE(J$353/J$351,K$353/K$351,L$353/L$351),L$353/L$351)*M$351</f>
        <v>-18.162385031807464</v>
      </c>
      <c r="N353" s="6">
        <f ca="1">IF(N$6=OFFSET(Assumptions!$B$8,0,$C$1),AVERAGE(K$353/K$351,L$353/L$351,M$353/M$351),M$353/M$351)*N$351</f>
        <v>-18.919748628383743</v>
      </c>
      <c r="O353" s="6">
        <f ca="1">IF(O$6=OFFSET(Assumptions!$B$8,0,$C$1),AVERAGE(L$353/L$351,M$353/M$351,N$353/N$351),N$353/N$351)*O$351</f>
        <v>-19.752971770777791</v>
      </c>
      <c r="P353" s="6">
        <f ca="1">IF(P$6=OFFSET(Assumptions!$B$8,0,$C$1),AVERAGE(M$353/M$351,N$353/N$351,O$353/O$351),O$353/O$351)*P$351</f>
        <v>-20.615797055432502</v>
      </c>
      <c r="Q353" s="6">
        <f ca="1">IF(Q$6=OFFSET(Assumptions!$B$8,0,$C$1),AVERAGE(N$353/N$351,O$353/O$351,P$353/P$351),P$353/P$351)*Q$351</f>
        <v>-21.57545118531149</v>
      </c>
      <c r="R353" s="6">
        <f ca="1">IF(R$6=OFFSET(Assumptions!$B$8,0,$C$1),AVERAGE(O$353/O$351,P$353/P$351,Q$353/Q$351),Q$353/Q$351)*R$351</f>
        <v>-22.56170683815132</v>
      </c>
      <c r="S353" s="6">
        <f ca="1">IF(S$6=OFFSET(Assumptions!$B$8,0,$C$1),AVERAGE(P$353/P$351,Q$353/Q$351,R$353/R$351),R$353/R$351)*S$351</f>
        <v>-23.625666017294439</v>
      </c>
      <c r="T353" s="6">
        <f ca="1">IF(T$6=OFFSET(Assumptions!$B$8,0,$C$1),AVERAGE(Q$353/Q$351,R$353/R$351,S$353/S$351),S$353/S$351)*T$351</f>
        <v>-24.71595006637483</v>
      </c>
      <c r="U353" s="6">
        <f ca="1">IF(U$6=OFFSET(Assumptions!$B$8,0,$C$1),AVERAGE(R$353/R$351,S$353/S$351,T$353/T$351),T$353/T$351)*U$351</f>
        <v>-25.893948275814697</v>
      </c>
    </row>
    <row r="354" spans="1:21" ht="15" x14ac:dyDescent="0.25">
      <c r="A354" s="2" t="s">
        <v>570</v>
      </c>
      <c r="B354" s="4"/>
      <c r="D354" s="34">
        <f t="shared" ref="D354:U354" ca="1" si="171">SUM(D$350:D$353)</f>
        <v>54.298000000000002</v>
      </c>
      <c r="E354" s="34">
        <f t="shared" ca="1" si="171"/>
        <v>53.398000000000003</v>
      </c>
      <c r="F354" s="34">
        <f t="shared" ca="1" si="171"/>
        <v>50.506</v>
      </c>
      <c r="G354" s="33">
        <f t="shared" ca="1" si="171"/>
        <v>50.235999999999997</v>
      </c>
      <c r="H354" s="33">
        <f t="shared" ca="1" si="171"/>
        <v>42.63</v>
      </c>
      <c r="I354" s="33">
        <f t="shared" ca="1" si="171"/>
        <v>45.033999999999999</v>
      </c>
      <c r="J354" s="33">
        <f t="shared" ca="1" si="171"/>
        <v>44.48</v>
      </c>
      <c r="K354" s="33">
        <f t="shared" ca="1" si="171"/>
        <v>52.945</v>
      </c>
      <c r="L354" s="37">
        <f t="shared" ca="1" si="171"/>
        <v>56.075514622832735</v>
      </c>
      <c r="M354" s="37">
        <f t="shared" ca="1" si="171"/>
        <v>59.334773742809062</v>
      </c>
      <c r="N354" s="37">
        <f t="shared" ca="1" si="171"/>
        <v>62.844988552547477</v>
      </c>
      <c r="O354" s="37">
        <f t="shared" ca="1" si="171"/>
        <v>66.66453452085419</v>
      </c>
      <c r="P354" s="37">
        <f t="shared" ca="1" si="171"/>
        <v>70.773655997739638</v>
      </c>
      <c r="Q354" s="37">
        <f t="shared" ca="1" si="171"/>
        <v>75.210582114636736</v>
      </c>
      <c r="R354" s="37">
        <f t="shared" ca="1" si="171"/>
        <v>79.746465919518243</v>
      </c>
      <c r="S354" s="37">
        <f t="shared" ca="1" si="171"/>
        <v>84.45122701011185</v>
      </c>
      <c r="T354" s="37">
        <f t="shared" ca="1" si="171"/>
        <v>89.285449815896101</v>
      </c>
      <c r="U354" s="37">
        <f t="shared" ca="1" si="171"/>
        <v>94.309873225853167</v>
      </c>
    </row>
    <row r="355" spans="1:21" ht="15" x14ac:dyDescent="0.25">
      <c r="A355" s="2"/>
      <c r="B355" s="4"/>
      <c r="D355" s="46"/>
      <c r="E355" s="46"/>
      <c r="F355" s="46"/>
      <c r="G355" s="47"/>
      <c r="H355" s="47"/>
      <c r="I355" s="47"/>
      <c r="J355" s="47"/>
      <c r="K355" s="47"/>
      <c r="L355" s="48"/>
      <c r="M355" s="48"/>
      <c r="N355" s="48"/>
      <c r="O355" s="48"/>
      <c r="P355" s="48"/>
      <c r="Q355" s="48"/>
      <c r="R355" s="48"/>
      <c r="S355" s="48"/>
      <c r="T355" s="48"/>
      <c r="U355" s="48"/>
    </row>
    <row r="356" spans="1:21" ht="15" x14ac:dyDescent="0.25">
      <c r="A356" s="18" t="s">
        <v>215</v>
      </c>
      <c r="B356" s="4"/>
      <c r="D356" s="46"/>
      <c r="E356" s="46"/>
      <c r="F356" s="46"/>
      <c r="G356" s="47"/>
      <c r="H356" s="47"/>
      <c r="I356" s="47"/>
      <c r="J356" s="47"/>
      <c r="K356" s="47"/>
      <c r="L356" s="7"/>
      <c r="M356" s="7"/>
      <c r="N356" s="7"/>
      <c r="O356" s="7"/>
      <c r="P356" s="7"/>
      <c r="Q356" s="7"/>
      <c r="R356" s="7"/>
      <c r="S356" s="7"/>
      <c r="T356" s="7"/>
      <c r="U356" s="7"/>
    </row>
    <row r="357" spans="1:21" x14ac:dyDescent="0.2">
      <c r="A357" s="1" t="s">
        <v>582</v>
      </c>
      <c r="B357" s="4"/>
      <c r="D357" s="14">
        <f ca="1">OFFSET(Assumptions!$B$73,0,$C$1)*D$373</f>
        <v>13.2849</v>
      </c>
      <c r="E357" s="14">
        <f ca="1">OFFSET(Assumptions!$B$73,0,$C$1)*E$373</f>
        <v>13.28715</v>
      </c>
      <c r="F357" s="14">
        <f ca="1">OFFSET(Assumptions!$B$73,0,$C$1)*F$373</f>
        <v>15.527700000000001</v>
      </c>
      <c r="G357" s="15">
        <f ca="1">OFFSET(Assumptions!$B$73,0,$C$1)*G$373</f>
        <v>17.489250000000002</v>
      </c>
      <c r="H357" s="15">
        <f ca="1">OFFSET(Assumptions!$B$73,0,$C$1)*H$373</f>
        <v>19.106100000000001</v>
      </c>
      <c r="I357" s="15">
        <f ca="1">OFFSET(Assumptions!$B$73,0,$C$1)*I$373</f>
        <v>21.060000000000002</v>
      </c>
      <c r="J357" s="15">
        <f ca="1">OFFSET(Assumptions!$B$73,0,$C$1)*J$373</f>
        <v>23.465700000000002</v>
      </c>
      <c r="K357" s="15">
        <f ca="1">OFFSET(Assumptions!$B$73,0,$C$1)*K$373</f>
        <v>26.175150000000002</v>
      </c>
      <c r="L357" s="6">
        <f ca="1">OFFSET(Assumptions!$B$73,0,$C$1)/SUM(OFFSET(Assumptions!$B$71,0,$C$1,6,1))*SUM(L$373,L$69,-L$341,L$448)</f>
        <v>29.034923167746701</v>
      </c>
      <c r="M357" s="6">
        <f ca="1">OFFSET(Assumptions!$B$73,0,$C$1)/SUM(OFFSET(Assumptions!$B$71,0,$C$1,6,1))*SUM(M$373,M$69,-M$341,M$448)</f>
        <v>31.789243777569077</v>
      </c>
      <c r="N357" s="6">
        <f ca="1">OFFSET(Assumptions!$B$73,0,$C$1)/SUM(OFFSET(Assumptions!$B$71,0,$C$1,6,1))*SUM(N$373,N$69,-N$341,N$448)</f>
        <v>34.653872434394572</v>
      </c>
      <c r="O357" s="6">
        <f ca="1">OFFSET(Assumptions!$B$73,0,$C$1)/SUM(OFFSET(Assumptions!$B$71,0,$C$1,6,1))*SUM(O$373,O$69,-O$341,O$448)</f>
        <v>37.626100967950656</v>
      </c>
      <c r="P357" s="6">
        <f ca="1">OFFSET(Assumptions!$B$73,0,$C$1)/SUM(OFFSET(Assumptions!$B$71,0,$C$1,6,1))*SUM(P$373,P$69,-P$341,P$448)</f>
        <v>40.705096079477975</v>
      </c>
      <c r="Q357" s="6">
        <f ca="1">OFFSET(Assumptions!$B$73,0,$C$1)/SUM(OFFSET(Assumptions!$B$71,0,$C$1,6,1))*SUM(Q$373,Q$69,-Q$341,Q$448)</f>
        <v>43.843041376952634</v>
      </c>
      <c r="R357" s="6">
        <f ca="1">OFFSET(Assumptions!$B$73,0,$C$1)/SUM(OFFSET(Assumptions!$B$71,0,$C$1,6,1))*SUM(R$373,R$69,-R$341,R$448)</f>
        <v>47.040621865821784</v>
      </c>
      <c r="S357" s="6">
        <f ca="1">OFFSET(Assumptions!$B$73,0,$C$1)/SUM(OFFSET(Assumptions!$B$71,0,$C$1,6,1))*SUM(S$373,S$69,-S$341,S$448)</f>
        <v>50.319491801050695</v>
      </c>
      <c r="T357" s="6">
        <f ca="1">OFFSET(Assumptions!$B$73,0,$C$1)/SUM(OFFSET(Assumptions!$B$71,0,$C$1,6,1))*SUM(T$373,T$69,-T$341,T$448)</f>
        <v>53.687881561700443</v>
      </c>
      <c r="U357" s="6">
        <f ca="1">OFFSET(Assumptions!$B$73,0,$C$1)/SUM(OFFSET(Assumptions!$B$71,0,$C$1,6,1))*SUM(U$373,U$69,-U$341,U$448)</f>
        <v>57.147672295373361</v>
      </c>
    </row>
    <row r="358" spans="1:21" x14ac:dyDescent="0.2">
      <c r="A358" s="1" t="s">
        <v>583</v>
      </c>
      <c r="B358" s="4" t="str">
        <f>$B$37</f>
        <v>From Fiscal</v>
      </c>
      <c r="D358" s="14">
        <f ca="1">'Fiscal Forecasts'!D$170-D$357</f>
        <v>2.0690999999999988</v>
      </c>
      <c r="E358" s="14">
        <f ca="1">'Fiscal Forecasts'!E$170-E$357</f>
        <v>0.25284999999999869</v>
      </c>
      <c r="F358" s="14">
        <f ca="1">'Fiscal Forecasts'!F$170-F$357</f>
        <v>4.5622999999999987</v>
      </c>
      <c r="G358" s="15">
        <f ca="1">'Fiscal Forecasts'!G$170-G$357</f>
        <v>7.0347499999999989</v>
      </c>
      <c r="H358" s="15">
        <f ca="1">'Fiscal Forecasts'!H$170-H$357</f>
        <v>8.0778999999999996</v>
      </c>
      <c r="I358" s="15">
        <f ca="1">'Fiscal Forecasts'!I$170-I$357</f>
        <v>9.4249999999999972</v>
      </c>
      <c r="J358" s="15">
        <f ca="1">'Fiscal Forecasts'!J$170-J$357</f>
        <v>11.103300000000001</v>
      </c>
      <c r="K358" s="15">
        <f ca="1">'Fiscal Forecasts'!K$170-K$357</f>
        <v>12.993849999999995</v>
      </c>
      <c r="L358" s="6">
        <f ca="1">(K$358/K$13+ IF(L$2&gt;0,L$2*IF(L$6=OFFSET(Assumptions!$B$8,0,$C$1),SUMPRODUCT(OFFSET(K$358,0,0,1,-OFFSET(Assumptions!$B$84,0,$C$1)),OFFSET(K$15,0,0,1,-OFFSET(Assumptions!$B$84,0,$C$1)))/OFFSET(Assumptions!$B$84,0,$C$1)-K$358/K$13,(K$358/K$13-J$358/J$13)/K$2),0))*L$13</f>
        <v>13.128509436172166</v>
      </c>
      <c r="M358" s="6">
        <f ca="1">(L$358/L$13+ IF(M$2&gt;0,M$2*IF(M$6=OFFSET(Assumptions!$B$8,0,$C$1),SUMPRODUCT(OFFSET(L$358,0,0,1,-OFFSET(Assumptions!$B$84,0,$C$1)),OFFSET(L$15,0,0,1,-OFFSET(Assumptions!$B$84,0,$C$1)))/OFFSET(Assumptions!$B$84,0,$C$1)-L$358/L$13,(L$358/L$13-K$358/K$13)/L$2),0))*M$13</f>
        <v>13.330025919785552</v>
      </c>
      <c r="N358" s="6">
        <f ca="1">(M$358/M$13+ IF(N$2&gt;0,N$2*IF(N$6=OFFSET(Assumptions!$B$8,0,$C$1),SUMPRODUCT(OFFSET(M$358,0,0,1,-OFFSET(Assumptions!$B$84,0,$C$1)),OFFSET(M$15,0,0,1,-OFFSET(Assumptions!$B$84,0,$C$1)))/OFFSET(Assumptions!$B$84,0,$C$1)-M$358/M$13,(M$358/M$13-L$358/L$13)/M$2),0))*N$13</f>
        <v>13.61290146789479</v>
      </c>
      <c r="O358" s="6">
        <f ca="1">(N$358/N$13+ IF(O$2&gt;0,O$2*IF(O$6=OFFSET(Assumptions!$B$8,0,$C$1),SUMPRODUCT(OFFSET(N$358,0,0,1,-OFFSET(Assumptions!$B$84,0,$C$1)),OFFSET(N$15,0,0,1,-OFFSET(Assumptions!$B$84,0,$C$1)))/OFFSET(Assumptions!$B$84,0,$C$1)-N$358/N$13,(N$358/N$13-M$358/M$13)/N$2),0))*O$13</f>
        <v>13.991998546800975</v>
      </c>
      <c r="P358" s="6">
        <f ca="1">(O$358/O$13+ IF(P$2&gt;0,P$2*IF(P$6=OFFSET(Assumptions!$B$8,0,$C$1),SUMPRODUCT(OFFSET(O$358,0,0,1,-OFFSET(Assumptions!$B$84,0,$C$1)),OFFSET(O$15,0,0,1,-OFFSET(Assumptions!$B$84,0,$C$1)))/OFFSET(Assumptions!$B$84,0,$C$1)-O$358/O$13,(O$358/O$13-N$358/N$13)/O$2),0))*P$13</f>
        <v>14.485480162625516</v>
      </c>
      <c r="Q358" s="6">
        <f ca="1">(P$358/P$13+ IF(Q$2&gt;0,Q$2*IF(Q$6=OFFSET(Assumptions!$B$8,0,$C$1),SUMPRODUCT(OFFSET(P$358,0,0,1,-OFFSET(Assumptions!$B$84,0,$C$1)),OFFSET(P$15,0,0,1,-OFFSET(Assumptions!$B$84,0,$C$1)))/OFFSET(Assumptions!$B$84,0,$C$1)-P$358/P$13,(P$358/P$13-O$358/O$13)/P$2),0))*Q$13</f>
        <v>15.10791491142027</v>
      </c>
      <c r="R358" s="6">
        <f ca="1">(Q$358/Q$13+ IF(R$2&gt;0,R$2*IF(R$6=OFFSET(Assumptions!$B$8,0,$C$1),SUMPRODUCT(OFFSET(Q$358,0,0,1,-OFFSET(Assumptions!$B$84,0,$C$1)),OFFSET(Q$15,0,0,1,-OFFSET(Assumptions!$B$84,0,$C$1)))/OFFSET(Assumptions!$B$84,0,$C$1)-Q$358/Q$13,(Q$358/Q$13-P$358/P$13)/Q$2),0))*R$13</f>
        <v>15.749999151261582</v>
      </c>
      <c r="S358" s="6">
        <f ca="1">(R$358/R$13+ IF(S$2&gt;0,S$2*IF(S$6=OFFSET(Assumptions!$B$8,0,$C$1),SUMPRODUCT(OFFSET(R$358,0,0,1,-OFFSET(Assumptions!$B$84,0,$C$1)),OFFSET(R$15,0,0,1,-OFFSET(Assumptions!$B$84,0,$C$1)))/OFFSET(Assumptions!$B$84,0,$C$1)-R$358/R$13,(R$358/R$13-Q$358/Q$13)/R$2),0))*S$13</f>
        <v>16.413645191328722</v>
      </c>
      <c r="T358" s="6">
        <f ca="1">(S$358/S$13+ IF(T$2&gt;0,T$2*IF(T$6=OFFSET(Assumptions!$B$8,0,$C$1),SUMPRODUCT(OFFSET(S$358,0,0,1,-OFFSET(Assumptions!$B$84,0,$C$1)),OFFSET(S$15,0,0,1,-OFFSET(Assumptions!$B$84,0,$C$1)))/OFFSET(Assumptions!$B$84,0,$C$1)-S$358/S$13,(S$358/S$13-R$358/R$13)/S$2),0))*T$13</f>
        <v>17.099456935628449</v>
      </c>
      <c r="U358" s="6">
        <f ca="1">(T$358/T$13+ IF(U$2&gt;0,U$2*IF(U$6=OFFSET(Assumptions!$B$8,0,$C$1),SUMPRODUCT(OFFSET(T$358,0,0,1,-OFFSET(Assumptions!$B$84,0,$C$1)),OFFSET(T$15,0,0,1,-OFFSET(Assumptions!$B$84,0,$C$1)))/OFFSET(Assumptions!$B$84,0,$C$1)-T$358/T$13,(T$358/T$13-S$358/S$13)/T$2),0))*U$13</f>
        <v>17.809507552832013</v>
      </c>
    </row>
    <row r="359" spans="1:21" ht="15" x14ac:dyDescent="0.25">
      <c r="A359" s="2" t="s">
        <v>584</v>
      </c>
      <c r="B359" s="4"/>
      <c r="D359" s="34">
        <f t="shared" ref="D359:U359" ca="1" si="172">SUM(D$357:D$358)</f>
        <v>15.353999999999999</v>
      </c>
      <c r="E359" s="34">
        <f t="shared" ca="1" si="172"/>
        <v>13.54</v>
      </c>
      <c r="F359" s="34">
        <f t="shared" ca="1" si="172"/>
        <v>20.09</v>
      </c>
      <c r="G359" s="33">
        <f t="shared" ca="1" si="172"/>
        <v>24.524000000000001</v>
      </c>
      <c r="H359" s="33">
        <f t="shared" ca="1" si="172"/>
        <v>27.184000000000001</v>
      </c>
      <c r="I359" s="33">
        <f t="shared" ca="1" si="172"/>
        <v>30.484999999999999</v>
      </c>
      <c r="J359" s="33">
        <f t="shared" ca="1" si="172"/>
        <v>34.569000000000003</v>
      </c>
      <c r="K359" s="33">
        <f t="shared" ca="1" si="172"/>
        <v>39.168999999999997</v>
      </c>
      <c r="L359" s="37">
        <f t="shared" ca="1" si="172"/>
        <v>42.163432603918864</v>
      </c>
      <c r="M359" s="37">
        <f t="shared" ca="1" si="172"/>
        <v>45.119269697354625</v>
      </c>
      <c r="N359" s="37">
        <f t="shared" ca="1" si="172"/>
        <v>48.266773902289358</v>
      </c>
      <c r="O359" s="37">
        <f t="shared" ca="1" si="172"/>
        <v>51.618099514751634</v>
      </c>
      <c r="P359" s="37">
        <f t="shared" ca="1" si="172"/>
        <v>55.190576242103489</v>
      </c>
      <c r="Q359" s="37">
        <f t="shared" ca="1" si="172"/>
        <v>58.950956288372907</v>
      </c>
      <c r="R359" s="37">
        <f t="shared" ca="1" si="172"/>
        <v>62.790621017083367</v>
      </c>
      <c r="S359" s="37">
        <f t="shared" ca="1" si="172"/>
        <v>66.733136992379414</v>
      </c>
      <c r="T359" s="37">
        <f t="shared" ca="1" si="172"/>
        <v>70.787338497328889</v>
      </c>
      <c r="U359" s="37">
        <f t="shared" ca="1" si="172"/>
        <v>74.957179848205371</v>
      </c>
    </row>
    <row r="360" spans="1:21" x14ac:dyDescent="0.2">
      <c r="A360" s="1" t="s">
        <v>272</v>
      </c>
      <c r="B360" s="4" t="str">
        <f>$B$37</f>
        <v>From Fiscal</v>
      </c>
      <c r="D360" s="14">
        <f>'Fiscal Forecasts'!D$202</f>
        <v>10.454000000000001</v>
      </c>
      <c r="E360" s="14">
        <f>'Fiscal Forecasts'!E$202</f>
        <v>11</v>
      </c>
      <c r="F360" s="14">
        <f>'Fiscal Forecasts'!F$202</f>
        <v>11.634</v>
      </c>
      <c r="G360" s="15">
        <f>'Fiscal Forecasts'!G$202</f>
        <v>12.802</v>
      </c>
      <c r="H360" s="15">
        <f>'Fiscal Forecasts'!H$202</f>
        <v>13.058</v>
      </c>
      <c r="I360" s="15">
        <f>'Fiscal Forecasts'!I$202</f>
        <v>13.423999999999999</v>
      </c>
      <c r="J360" s="15">
        <f>'Fiscal Forecasts'!J$202</f>
        <v>13.766999999999999</v>
      </c>
      <c r="K360" s="15">
        <f>'Fiscal Forecasts'!K$202</f>
        <v>14.11</v>
      </c>
      <c r="L360" s="6">
        <f>K$360*Exogenous!S$28/Exogenous!R$28</f>
        <v>14.655127070766008</v>
      </c>
      <c r="M360" s="6">
        <f>L$360*Exogenous!T$28/Exogenous!S$28</f>
        <v>15.264078332437604</v>
      </c>
      <c r="N360" s="6">
        <f>M$360*Exogenous!U$28/Exogenous!T$28</f>
        <v>15.90058379380908</v>
      </c>
      <c r="O360" s="6">
        <f>N$360*Exogenous!V$28/Exogenous!U$28</f>
        <v>16.600843329747175</v>
      </c>
      <c r="P360" s="6">
        <f>O$360*Exogenous!W$28/Exogenous!V$28</f>
        <v>17.325981174204966</v>
      </c>
      <c r="Q360" s="6">
        <f>P$360*Exogenous!X$28/Exogenous!W$28</f>
        <v>18.132496165758493</v>
      </c>
      <c r="R360" s="6">
        <f>Q$360*Exogenous!Y$28/Exogenous!X$28</f>
        <v>18.961367677643757</v>
      </c>
      <c r="S360" s="6">
        <f>R$360*Exogenous!Z$28/Exogenous!Y$28</f>
        <v>19.855542986917023</v>
      </c>
      <c r="T360" s="6">
        <f>S$360*Exogenous!AA$28/Exogenous!Z$28</f>
        <v>20.771842311076554</v>
      </c>
      <c r="U360" s="6">
        <f>T$360*Exogenous!AB$28/Exogenous!AA$28</f>
        <v>21.761858595439616</v>
      </c>
    </row>
    <row r="361" spans="1:21" x14ac:dyDescent="0.2">
      <c r="A361" s="1" t="s">
        <v>483</v>
      </c>
      <c r="B361" s="4" t="str">
        <f>$B$37</f>
        <v>From Fiscal</v>
      </c>
      <c r="D361" s="14">
        <f>'Fiscal Forecasts'!D$203</f>
        <v>5.8000000000000003E-2</v>
      </c>
      <c r="E361" s="14">
        <f>'Fiscal Forecasts'!E$203</f>
        <v>8.5999999999999993E-2</v>
      </c>
      <c r="F361" s="14">
        <f>'Fiscal Forecasts'!F$203</f>
        <v>5.8999999999999997E-2</v>
      </c>
      <c r="G361" s="15">
        <f>'Fiscal Forecasts'!G$203</f>
        <v>6.5000000000000002E-2</v>
      </c>
      <c r="H361" s="15">
        <f>'Fiscal Forecasts'!H$203</f>
        <v>8.1000000000000003E-2</v>
      </c>
      <c r="I361" s="15">
        <f>'Fiscal Forecasts'!I$203</f>
        <v>8.1000000000000003E-2</v>
      </c>
      <c r="J361" s="15">
        <f>'Fiscal Forecasts'!J$203</f>
        <v>8.2000000000000003E-2</v>
      </c>
      <c r="K361" s="15">
        <f>'Fiscal Forecasts'!K$203</f>
        <v>8.2000000000000003E-2</v>
      </c>
      <c r="L361" s="6">
        <f ca="1">(K$361/K$13+ IF(L$2&gt;0,L$2*IF(L$6=OFFSET(Assumptions!$B$8,0,$C$1),SUMPRODUCT(OFFSET(K$361,0,0,1,-OFFSET(Assumptions!$B$84,0,$C$1)),OFFSET(K$15,0,0,1,-OFFSET(Assumptions!$B$84,0,$C$1)))/OFFSET(Assumptions!$B$84,0,$C$1)-K$361/K$13,(K$361/K$13-J$361/J$13)/K$2),0))*L$13</f>
        <v>8.7036860052588413E-2</v>
      </c>
      <c r="M361" s="6">
        <f ca="1">(L$361/L$13+ IF(M$2&gt;0,M$2*IF(M$6=OFFSET(Assumptions!$B$8,0,$C$1),SUMPRODUCT(OFFSET(L$361,0,0,1,-OFFSET(Assumptions!$B$84,0,$C$1)),OFFSET(L$15,0,0,1,-OFFSET(Assumptions!$B$84,0,$C$1)))/OFFSET(Assumptions!$B$84,0,$C$1)-L$361/L$13,(L$361/L$13-K$361/K$13)/L$2),0))*M$13</f>
        <v>9.2001863710478804E-2</v>
      </c>
      <c r="N361" s="6">
        <f ca="1">(M$361/M$13+ IF(N$2&gt;0,N$2*IF(N$6=OFFSET(Assumptions!$B$8,0,$C$1),SUMPRODUCT(OFFSET(M$361,0,0,1,-OFFSET(Assumptions!$B$84,0,$C$1)),OFFSET(M$15,0,0,1,-OFFSET(Assumptions!$B$84,0,$C$1)))/OFFSET(Assumptions!$B$84,0,$C$1)-M$361/M$13,(M$361/M$13-L$361/L$13)/M$2),0))*N$13</f>
        <v>9.688196977821549E-2</v>
      </c>
      <c r="O361" s="6">
        <f ca="1">(N$361/N$13+ IF(O$2&gt;0,O$2*IF(O$6=OFFSET(Assumptions!$B$8,0,$C$1),SUMPRODUCT(OFFSET(N$361,0,0,1,-OFFSET(Assumptions!$B$84,0,$C$1)),OFFSET(N$15,0,0,1,-OFFSET(Assumptions!$B$84,0,$C$1)))/OFFSET(Assumptions!$B$84,0,$C$1)-N$361/N$13,(N$361/N$13-M$361/M$13)/N$2),0))*O$13</f>
        <v>0.10166374930832182</v>
      </c>
      <c r="P361" s="6">
        <f ca="1">(O$361/O$13+ IF(P$2&gt;0,P$2*IF(P$6=OFFSET(Assumptions!$B$8,0,$C$1),SUMPRODUCT(OFFSET(O$361,0,0,1,-OFFSET(Assumptions!$B$84,0,$C$1)),OFFSET(O$15,0,0,1,-OFFSET(Assumptions!$B$84,0,$C$1)))/OFFSET(Assumptions!$B$84,0,$C$1)-O$361/O$13,(O$361/O$13-N$361/N$13)/O$2),0))*P$13</f>
        <v>0.10635317170205358</v>
      </c>
      <c r="Q361" s="6">
        <f ca="1">(P$361/P$13+ IF(Q$2&gt;0,Q$2*IF(Q$6=OFFSET(Assumptions!$B$8,0,$C$1),SUMPRODUCT(OFFSET(P$361,0,0,1,-OFFSET(Assumptions!$B$84,0,$C$1)),OFFSET(P$15,0,0,1,-OFFSET(Assumptions!$B$84,0,$C$1)))/OFFSET(Assumptions!$B$84,0,$C$1)-P$361/P$13,(P$361/P$13-O$361/O$13)/P$2),0))*Q$13</f>
        <v>0.11092312098704121</v>
      </c>
      <c r="R361" s="6">
        <f ca="1">(Q$361/Q$13+ IF(R$2&gt;0,R$2*IF(R$6=OFFSET(Assumptions!$B$8,0,$C$1),SUMPRODUCT(OFFSET(Q$361,0,0,1,-OFFSET(Assumptions!$B$84,0,$C$1)),OFFSET(Q$15,0,0,1,-OFFSET(Assumptions!$B$84,0,$C$1)))/OFFSET(Assumptions!$B$84,0,$C$1)-Q$361/Q$13,(Q$361/Q$13-P$361/P$13)/Q$2),0))*R$13</f>
        <v>0.11563733788840545</v>
      </c>
      <c r="S361" s="6">
        <f ca="1">(R$361/R$13+ IF(S$2&gt;0,S$2*IF(S$6=OFFSET(Assumptions!$B$8,0,$C$1),SUMPRODUCT(OFFSET(R$361,0,0,1,-OFFSET(Assumptions!$B$84,0,$C$1)),OFFSET(R$15,0,0,1,-OFFSET(Assumptions!$B$84,0,$C$1)))/OFFSET(Assumptions!$B$84,0,$C$1)-R$361/R$13,(R$361/R$13-Q$361/Q$13)/R$2),0))*S$13</f>
        <v>0.12050986268263056</v>
      </c>
      <c r="T361" s="6">
        <f ca="1">(S$361/S$13+ IF(T$2&gt;0,T$2*IF(T$6=OFFSET(Assumptions!$B$8,0,$C$1),SUMPRODUCT(OFFSET(S$361,0,0,1,-OFFSET(Assumptions!$B$84,0,$C$1)),OFFSET(S$15,0,0,1,-OFFSET(Assumptions!$B$84,0,$C$1)))/OFFSET(Assumptions!$B$84,0,$C$1)-S$361/S$13,(S$361/S$13-R$361/R$13)/S$2),0))*T$13</f>
        <v>0.12554512926530029</v>
      </c>
      <c r="U361" s="6">
        <f ca="1">(T$361/T$13+ IF(U$2&gt;0,U$2*IF(U$6=OFFSET(Assumptions!$B$8,0,$C$1),SUMPRODUCT(OFFSET(T$361,0,0,1,-OFFSET(Assumptions!$B$84,0,$C$1)),OFFSET(T$15,0,0,1,-OFFSET(Assumptions!$B$84,0,$C$1)))/OFFSET(Assumptions!$B$84,0,$C$1)-T$361/T$13,(T$361/T$13-S$361/S$13)/T$2),0))*U$13</f>
        <v>0.13075835895191032</v>
      </c>
    </row>
    <row r="362" spans="1:21" x14ac:dyDescent="0.2">
      <c r="A362" s="1" t="s">
        <v>484</v>
      </c>
      <c r="B362" s="4" t="str">
        <f>$B$37</f>
        <v>From Fiscal</v>
      </c>
      <c r="D362" s="14">
        <f ca="1">'Fiscal Forecasts'!D$117-SUM(D$359:D$361)</f>
        <v>-0.45799999999999841</v>
      </c>
      <c r="E362" s="14">
        <f ca="1">'Fiscal Forecasts'!E$117-SUM(E$359:E$361)</f>
        <v>-0.40899999999999892</v>
      </c>
      <c r="F362" s="14">
        <f ca="1">'Fiscal Forecasts'!F$117-SUM(F$359:F$361)</f>
        <v>-1.083000000000002</v>
      </c>
      <c r="G362" s="15">
        <f ca="1">'Fiscal Forecasts'!G$117-SUM(G$359:G$361)</f>
        <v>-0.95100000000000051</v>
      </c>
      <c r="H362" s="15">
        <f ca="1">'Fiscal Forecasts'!H$117-SUM(H$359:H$361)</f>
        <v>-0.97900000000000631</v>
      </c>
      <c r="I362" s="15">
        <f ca="1">'Fiscal Forecasts'!I$117-SUM(I$359:I$361)</f>
        <v>-1.0120000000000005</v>
      </c>
      <c r="J362" s="15">
        <f ca="1">'Fiscal Forecasts'!J$117-SUM(J$359:J$361)</f>
        <v>-1.0510000000000019</v>
      </c>
      <c r="K362" s="15">
        <f ca="1">'Fiscal Forecasts'!K$117-SUM(K$359:K$361)</f>
        <v>-1.090999999999994</v>
      </c>
      <c r="L362" s="6">
        <f ca="1">IF(L$6=OFFSET(Assumptions!$B$8,0,$C$1),AVERAGE(I$362/I$360,J$362/J$360,K$362/K$360),K$362/K$360)*L$360</f>
        <v>-1.1189208668146167</v>
      </c>
      <c r="M362" s="6">
        <f ca="1">IF(M$6=OFFSET(Assumptions!$B$8,0,$C$1),AVERAGE(J$362/J$360,K$362/K$360,L$362/L$360),L$362/L$360)*M$360</f>
        <v>-1.1654143752139146</v>
      </c>
      <c r="N362" s="6">
        <f ca="1">IF(N$6=OFFSET(Assumptions!$B$8,0,$C$1),AVERAGE(K$362/K$360,L$362/L$360,M$362/M$360),M$362/M$360)*N$360</f>
        <v>-1.2140116503607608</v>
      </c>
      <c r="O362" s="6">
        <f ca="1">IF(O$6=OFFSET(Assumptions!$B$8,0,$C$1),AVERAGE(L$362/L$360,M$362/M$360,N$362/N$360),N$362/N$360)*O$360</f>
        <v>-1.2674765574314095</v>
      </c>
      <c r="P362" s="6">
        <f ca="1">IF(P$6=OFFSET(Assumptions!$B$8,0,$C$1),AVERAGE(M$362/M$360,N$362/N$360,O$362/O$360),O$362/O$360)*P$360</f>
        <v>-1.3228409266083452</v>
      </c>
      <c r="Q362" s="6">
        <f ca="1">IF(Q$6=OFFSET(Assumptions!$B$8,0,$C$1),AVERAGE(N$362/N$360,O$362/O$360,P$362/P$360),P$362/P$360)*Q$360</f>
        <v>-1.38441845159946</v>
      </c>
      <c r="R362" s="6">
        <f ca="1">IF(R$6=OFFSET(Assumptions!$B$8,0,$C$1),AVERAGE(O$362/O$360,P$362/P$360,Q$362/Q$360),Q$362/Q$360)*R$360</f>
        <v>-1.447702899839193</v>
      </c>
      <c r="S362" s="6">
        <f ca="1">IF(S$6=OFFSET(Assumptions!$B$8,0,$C$1),AVERAGE(P$362/P$360,Q$362/Q$360,R$362/R$360),R$362/R$360)*S$360</f>
        <v>-1.5159733015426409</v>
      </c>
      <c r="T362" s="6">
        <f ca="1">IF(T$6=OFFSET(Assumptions!$B$8,0,$C$1),AVERAGE(Q$362/Q$360,R$362/R$360,S$362/S$360),S$362/S$360)*T$360</f>
        <v>-1.5859328746735644</v>
      </c>
      <c r="U362" s="6">
        <f ca="1">IF(U$6=OFFSET(Assumptions!$B$8,0,$C$1),AVERAGE(R$362/R$360,S$362/S$360,T$362/T$360),T$362/T$360)*U$360</f>
        <v>-1.6615207473485027</v>
      </c>
    </row>
    <row r="363" spans="1:21" ht="15" x14ac:dyDescent="0.25">
      <c r="A363" s="2" t="s">
        <v>585</v>
      </c>
      <c r="B363" s="4"/>
      <c r="D363" s="34">
        <f t="shared" ref="D363:U363" ca="1" si="173">SUM(D$359:D$362)</f>
        <v>25.408000000000001</v>
      </c>
      <c r="E363" s="34">
        <f t="shared" ca="1" si="173"/>
        <v>24.216999999999999</v>
      </c>
      <c r="F363" s="34">
        <f t="shared" ca="1" si="173"/>
        <v>30.7</v>
      </c>
      <c r="G363" s="33">
        <f t="shared" ca="1" si="173"/>
        <v>36.44</v>
      </c>
      <c r="H363" s="33">
        <f t="shared" ca="1" si="173"/>
        <v>39.344000000000001</v>
      </c>
      <c r="I363" s="33">
        <f t="shared" ca="1" si="173"/>
        <v>42.978000000000002</v>
      </c>
      <c r="J363" s="33">
        <f t="shared" ca="1" si="173"/>
        <v>47.366999999999997</v>
      </c>
      <c r="K363" s="33">
        <f t="shared" ca="1" si="173"/>
        <v>52.27</v>
      </c>
      <c r="L363" s="37">
        <f t="shared" ca="1" si="173"/>
        <v>55.786675667922836</v>
      </c>
      <c r="M363" s="37">
        <f t="shared" ca="1" si="173"/>
        <v>59.309935518288796</v>
      </c>
      <c r="N363" s="37">
        <f t="shared" ca="1" si="173"/>
        <v>63.050228015515884</v>
      </c>
      <c r="O363" s="37">
        <f t="shared" ca="1" si="173"/>
        <v>67.05313003637572</v>
      </c>
      <c r="P363" s="37">
        <f t="shared" ca="1" si="173"/>
        <v>71.300069661402162</v>
      </c>
      <c r="Q363" s="37">
        <f t="shared" ca="1" si="173"/>
        <v>75.809957123518984</v>
      </c>
      <c r="R363" s="37">
        <f t="shared" ca="1" si="173"/>
        <v>80.419923132776319</v>
      </c>
      <c r="S363" s="37">
        <f t="shared" ca="1" si="173"/>
        <v>85.193216540436424</v>
      </c>
      <c r="T363" s="37">
        <f t="shared" ca="1" si="173"/>
        <v>90.098793062997188</v>
      </c>
      <c r="U363" s="37">
        <f t="shared" ca="1" si="173"/>
        <v>95.188276055248394</v>
      </c>
    </row>
    <row r="364" spans="1:21" ht="15" x14ac:dyDescent="0.25">
      <c r="A364" s="2"/>
      <c r="B364" s="4"/>
      <c r="D364" s="46"/>
      <c r="E364" s="46"/>
      <c r="F364" s="46"/>
      <c r="G364" s="47"/>
      <c r="H364" s="47"/>
      <c r="I364" s="47"/>
      <c r="J364" s="47"/>
      <c r="K364" s="47"/>
      <c r="L364" s="6"/>
      <c r="M364" s="6"/>
      <c r="N364" s="6"/>
      <c r="O364" s="6"/>
      <c r="P364" s="6"/>
      <c r="Q364" s="6"/>
      <c r="R364" s="6"/>
      <c r="S364" s="6"/>
      <c r="T364" s="6"/>
      <c r="U364" s="6"/>
    </row>
    <row r="365" spans="1:21" x14ac:dyDescent="0.2">
      <c r="A365" s="18" t="s">
        <v>401</v>
      </c>
      <c r="G365" s="6"/>
      <c r="H365" s="6"/>
      <c r="I365" s="6"/>
      <c r="J365" s="6"/>
      <c r="K365" s="6"/>
      <c r="L365" s="6"/>
      <c r="M365" s="6"/>
      <c r="N365" s="6"/>
      <c r="O365" s="6"/>
      <c r="P365" s="6"/>
      <c r="Q365" s="6"/>
      <c r="R365" s="6"/>
      <c r="S365" s="6"/>
      <c r="T365" s="6"/>
      <c r="U365" s="6"/>
    </row>
    <row r="366" spans="1:21" x14ac:dyDescent="0.2">
      <c r="A366" s="1" t="s">
        <v>365</v>
      </c>
      <c r="B366" s="4" t="str">
        <f t="shared" ref="B366:B372" si="174">$B$37</f>
        <v>From Fiscal</v>
      </c>
      <c r="D366" s="14">
        <f>'Fiscal Forecasts'!D$341</f>
        <v>0.76</v>
      </c>
      <c r="E366" s="14">
        <f>'Fiscal Forecasts'!E$341</f>
        <v>0.752</v>
      </c>
      <c r="F366" s="14">
        <f>'Fiscal Forecasts'!F$341</f>
        <v>0.83299999999999996</v>
      </c>
      <c r="G366" s="15">
        <f>'Fiscal Forecasts'!G$341</f>
        <v>0.80400000000000005</v>
      </c>
      <c r="H366" s="15">
        <f>'Fiscal Forecasts'!H$341</f>
        <v>0.93700000000000006</v>
      </c>
      <c r="I366" s="15">
        <f>'Fiscal Forecasts'!I$341</f>
        <v>1.0189999999999999</v>
      </c>
      <c r="J366" s="15">
        <f>'Fiscal Forecasts'!J$341</f>
        <v>1.117</v>
      </c>
      <c r="K366" s="15">
        <f>'Fiscal Forecasts'!K$341</f>
        <v>1.236</v>
      </c>
      <c r="L366" s="6">
        <f ca="1">IF(L$6=OFFSET(Assumptions!$B$8,0,$C$1),AVERAGE(I$366/(I$366-I$368+I$369),J$366/(J$366-J$368+J$369),K$366/(K$366-K$368+K$369)),(K$366-Exogenous!R$10)/(K$366-Exogenous!R$10-K$368+K$369))*Exogenous!S$7 +Exogenous!S$10</f>
        <v>1.1524431693748995</v>
      </c>
      <c r="M366" s="6">
        <f ca="1">IF(M$6=OFFSET(Assumptions!$B$8,0,$C$1),AVERAGE(J$366/(J$366-J$368+J$369),K$366/(K$366-K$368+K$369),L$366/(L$366-L$368+L$369)),(L$366-Exogenous!S$10)/(L$366-Exogenous!S$10-L$368+L$369))*Exogenous!T$7 +Exogenous!T$10</f>
        <v>1.3005449329297243</v>
      </c>
      <c r="N366" s="6">
        <f ca="1">IF(N$6=OFFSET(Assumptions!$B$8,0,$C$1),AVERAGE(K$366/(K$366-K$368+K$369),L$366/(L$366-L$368+L$369),M$366/(M$366-M$368+M$369)),(M$366-Exogenous!T$10)/(M$366-Exogenous!T$10-M$368+M$369))*Exogenous!U$7 +Exogenous!U$10</f>
        <v>1.4605416368548461</v>
      </c>
      <c r="O366" s="6">
        <f ca="1">IF(O$6=OFFSET(Assumptions!$B$8,0,$C$1),AVERAGE(L$366/(L$366-L$368+L$369),M$366/(M$366-M$368+M$369),N$366/(N$366-N$368+N$369)),(N$366-Exogenous!U$10)/(N$366-Exogenous!U$10-N$368+N$369))*Exogenous!V$7 +Exogenous!V$10</f>
        <v>1.6322994547612888</v>
      </c>
      <c r="P366" s="6">
        <f ca="1">IF(P$6=OFFSET(Assumptions!$B$8,0,$C$1),AVERAGE(M$366/(M$366-M$368+M$369),N$366/(N$366-N$368+N$369),O$366/(O$366-O$368+O$369)),(O$366-Exogenous!V$10)/(O$366-Exogenous!V$10-O$368+O$369))*Exogenous!W$7 +Exogenous!W$10</f>
        <v>1.8158948835412809</v>
      </c>
      <c r="Q366" s="6">
        <f ca="1">IF(Q$6=OFFSET(Assumptions!$B$8,0,$C$1),AVERAGE(N$366/(N$366-N$368+N$369),O$366/(O$366-O$368+O$369),P$366/(P$366-P$368+P$369)),(P$366-Exogenous!W$10)/(P$366-Exogenous!W$10-P$368+P$369))*Exogenous!X$7 +Exogenous!X$10</f>
        <v>1.9634537268779957</v>
      </c>
      <c r="R366" s="6">
        <f ca="1">IF(R$6=OFFSET(Assumptions!$B$8,0,$C$1),AVERAGE(O$366/(O$366-O$368+O$369),P$366/(P$366-P$368+P$369),Q$366/(Q$366-Q$368+Q$369)),(Q$366-Exogenous!X$10)/(Q$366-Exogenous!X$10-Q$368+Q$369))*Exogenous!Y$7 +Exogenous!Y$10</f>
        <v>2.1114344259858351</v>
      </c>
      <c r="S366" s="6">
        <f ca="1">IF(S$6=OFFSET(Assumptions!$B$8,0,$C$1),AVERAGE(P$366/(P$366-P$368+P$369),Q$366/(Q$366-Q$368+Q$369),R$366/(R$366-R$368+R$369)),(R$366-Exogenous!Y$10)/(R$366-Exogenous!Y$10-R$368+R$369))*Exogenous!Z$7 +Exogenous!Z$10</f>
        <v>2.2627028240182501</v>
      </c>
      <c r="T366" s="6">
        <f ca="1">IF(T$6=OFFSET(Assumptions!$B$8,0,$C$1),AVERAGE(Q$366/(Q$366-Q$368+Q$369),R$366/(R$366-R$368+R$369),S$366/(S$366-S$368+S$369)),(S$366-Exogenous!Z$10)/(S$366-Exogenous!Z$10-S$368+S$369))*Exogenous!AA$7 +Exogenous!AA$10</f>
        <v>2.4179809764083049</v>
      </c>
      <c r="U366" s="6">
        <f ca="1">IF(U$6=OFFSET(Assumptions!$B$8,0,$C$1),AVERAGE(R$366/(R$366-R$368+R$369),S$366/(S$366-S$368+S$369),T$366/(T$366-T$368+T$369)),(T$366-Exogenous!AA$10)/(T$366-Exogenous!AA$10-T$368+T$369))*Exogenous!AB$7 +Exogenous!AB$10</f>
        <v>2.5774918283464126</v>
      </c>
    </row>
    <row r="367" spans="1:21" x14ac:dyDescent="0.2">
      <c r="A367" s="1" t="s">
        <v>366</v>
      </c>
      <c r="B367" s="4" t="str">
        <f t="shared" si="174"/>
        <v>From Fiscal</v>
      </c>
      <c r="D367" s="14">
        <f>'Fiscal Forecasts'!D$342</f>
        <v>4.5999999999999999E-2</v>
      </c>
      <c r="E367" s="14">
        <f>'Fiscal Forecasts'!E$342</f>
        <v>0.51200000000000001</v>
      </c>
      <c r="F367" s="14">
        <f>'Fiscal Forecasts'!F$342</f>
        <v>1.139</v>
      </c>
      <c r="G367" s="15">
        <f>'Fiscal Forecasts'!G$342</f>
        <v>0.64200000000000002</v>
      </c>
      <c r="H367" s="15">
        <f>'Fiscal Forecasts'!H$342</f>
        <v>0.80700000000000005</v>
      </c>
      <c r="I367" s="15">
        <f>'Fiscal Forecasts'!I$342</f>
        <v>0.88700000000000001</v>
      </c>
      <c r="J367" s="15">
        <f>'Fiscal Forecasts'!J$342</f>
        <v>0.98299999999999998</v>
      </c>
      <c r="K367" s="15">
        <f>'Fiscal Forecasts'!K$342</f>
        <v>1.101</v>
      </c>
      <c r="L367" s="6">
        <f>Exogenous!S$8</f>
        <v>0.98273879623278382</v>
      </c>
      <c r="M367" s="6">
        <f>Exogenous!T$8</f>
        <v>1.1090316605609802</v>
      </c>
      <c r="N367" s="6">
        <f>Exogenous!U$8</f>
        <v>1.2454678618375026</v>
      </c>
      <c r="O367" s="6">
        <f>Exogenous!V$8</f>
        <v>1.3919332804355433</v>
      </c>
      <c r="P367" s="6">
        <f>Exogenous!W$8</f>
        <v>1.5484931486075739</v>
      </c>
      <c r="Q367" s="6">
        <f>Exogenous!X$8</f>
        <v>1.6743230410723637</v>
      </c>
      <c r="R367" s="6">
        <f>Exogenous!Y$8</f>
        <v>1.8005126684409787</v>
      </c>
      <c r="S367" s="6">
        <f>Exogenous!Z$8</f>
        <v>1.9295058607656557</v>
      </c>
      <c r="T367" s="6">
        <f>Exogenous!AA$8</f>
        <v>2.0619183463581767</v>
      </c>
      <c r="U367" s="6">
        <f>Exogenous!AB$8</f>
        <v>2.1979402403529575</v>
      </c>
    </row>
    <row r="368" spans="1:21" x14ac:dyDescent="0.2">
      <c r="A368" s="1" t="s">
        <v>367</v>
      </c>
      <c r="B368" s="4" t="str">
        <f t="shared" si="174"/>
        <v>From Fiscal</v>
      </c>
      <c r="D368" s="14">
        <f>'Fiscal Forecasts'!D$343</f>
        <v>0.19800000000000001</v>
      </c>
      <c r="E368" s="14">
        <f>'Fiscal Forecasts'!E$343</f>
        <v>0.13800000000000001</v>
      </c>
      <c r="F368" s="14">
        <f>'Fiscal Forecasts'!F$343</f>
        <v>0.22700000000000001</v>
      </c>
      <c r="G368" s="15">
        <f>'Fiscal Forecasts'!G$343</f>
        <v>0.24199999999999999</v>
      </c>
      <c r="H368" s="15">
        <f>'Fiscal Forecasts'!H$343</f>
        <v>0.20499999999999999</v>
      </c>
      <c r="I368" s="15">
        <f>'Fiscal Forecasts'!I$343</f>
        <v>0.218</v>
      </c>
      <c r="J368" s="15">
        <f>'Fiscal Forecasts'!J$343</f>
        <v>0.23200000000000001</v>
      </c>
      <c r="K368" s="15">
        <f>'Fiscal Forecasts'!K$343</f>
        <v>0.247</v>
      </c>
      <c r="L368" s="6">
        <f ca="1">IF(L$6=OFFSET(Assumptions!$B$8,0,$C$1),AVERAGE(I$368/(I$366-I$368+I$369),J$368/(J$366-J$368+J$369),K$368/(K$366-K$368+K$369)),K$368/(K$366-Exogenous!R$10-K$368+K$369))*Exogenous!S$7</f>
        <v>0.23138812936585162</v>
      </c>
      <c r="M368" s="6">
        <f ca="1">IF(M$6=OFFSET(Assumptions!$B$8,0,$C$1),AVERAGE(J$368/(J$366-J$368+J$369),K$368/(K$366-K$368+K$369),L$368/(L$366-L$368+L$369)),L$368/(L$366-Exogenous!S$10-L$368+L$369))*Exogenous!T$7</f>
        <v>0.26112407725065923</v>
      </c>
      <c r="N368" s="6">
        <f ca="1">IF(N$6=OFFSET(Assumptions!$B$8,0,$C$1),AVERAGE(K$368/(K$366-K$368+K$369),L$368/(L$366-L$368+L$369),M$368/(M$366-M$368+M$369)),M$368/(M$366-Exogenous!T$10-M$368+M$369))*Exogenous!U$7</f>
        <v>0.29324829735082847</v>
      </c>
      <c r="O368" s="6">
        <f ca="1">IF(O$6=OFFSET(Assumptions!$B$8,0,$C$1),AVERAGE(L$368/(L$366-L$368+L$369),M$368/(M$366-M$368+M$369),N$368/(N$366-N$368+N$369)),N$368/(N$366-Exogenous!U$10-N$368+N$369))*Exogenous!V$7</f>
        <v>0.32773391993548862</v>
      </c>
      <c r="P368" s="6">
        <f ca="1">IF(P$6=OFFSET(Assumptions!$B$8,0,$C$1),AVERAGE(M$368/(M$366-M$368+M$369),N$368/(N$366-N$368+N$369),O$368/(O$366-O$368+O$369)),O$368/(O$366-Exogenous!V$10-O$368+O$369))*Exogenous!W$7</f>
        <v>0.36459630408981225</v>
      </c>
      <c r="Q368" s="6">
        <f ca="1">IF(Q$6=OFFSET(Assumptions!$B$8,0,$C$1),AVERAGE(N$368/(N$366-N$368+N$369),O$368/(O$366-O$368+O$369),P$368/(P$366-P$368+P$369)),P$368/(P$366-Exogenous!W$10-P$368+P$369))*Exogenous!X$7</f>
        <v>0.39422324417536198</v>
      </c>
      <c r="R368" s="6">
        <f ca="1">IF(R$6=OFFSET(Assumptions!$B$8,0,$C$1),AVERAGE(O$368/(O$366-O$368+O$369),P$368/(P$366-P$368+P$369),Q$368/(Q$366-Q$368+Q$369)),Q$368/(Q$366-Exogenous!X$10-Q$368+Q$369))*Exogenous!Y$7</f>
        <v>0.42393488467854329</v>
      </c>
      <c r="S368" s="6">
        <f ca="1">IF(S$6=OFFSET(Assumptions!$B$8,0,$C$1),AVERAGE(P$368/(P$366-P$368+P$369),Q$368/(Q$366-Q$368+Q$369),R$368/(R$366-R$368+R$369)),R$368/(R$366-Exogenous!Y$10-R$368+R$369))*Exogenous!Z$7</f>
        <v>0.45430663105444047</v>
      </c>
      <c r="T368" s="6">
        <f ca="1">IF(T$6=OFFSET(Assumptions!$B$8,0,$C$1),AVERAGE(Q$368/(Q$366-Q$368+Q$369),R$368/(R$366-R$368+R$369),S$368/(S$366-S$368+S$369)),S$368/(S$366-Exogenous!Z$10-S$368+S$369))*Exogenous!AA$7</f>
        <v>0.48548345796245113</v>
      </c>
      <c r="U368" s="6">
        <f ca="1">IF(U$6=OFFSET(Assumptions!$B$8,0,$C$1),AVERAGE(R$368/(R$366-R$368+R$369),S$368/(S$366-S$368+S$369),T$368/(T$366-T$368+T$369)),T$368/(T$366-Exogenous!AA$10-T$368+T$369))*Exogenous!AB$7</f>
        <v>0.51751012845200928</v>
      </c>
    </row>
    <row r="369" spans="1:21" x14ac:dyDescent="0.2">
      <c r="A369" s="1" t="s">
        <v>377</v>
      </c>
      <c r="B369" s="4" t="str">
        <f t="shared" si="174"/>
        <v>From Fiscal</v>
      </c>
      <c r="D369" s="14">
        <f>'Fiscal Forecasts'!D$344</f>
        <v>3.1560000000000001</v>
      </c>
      <c r="E369" s="14">
        <f>'Fiscal Forecasts'!E$344</f>
        <v>-7.5999999999999998E-2</v>
      </c>
      <c r="F369" s="14">
        <f>'Fiscal Forecasts'!F$344</f>
        <v>5.5119999999999996</v>
      </c>
      <c r="G369" s="15">
        <f>'Fiscal Forecasts'!G$344</f>
        <v>3.8959999999999999</v>
      </c>
      <c r="H369" s="15">
        <f>'Fiscal Forecasts'!H$344</f>
        <v>2.641</v>
      </c>
      <c r="I369" s="15">
        <f>'Fiscal Forecasts'!I$344</f>
        <v>2.8969999999999998</v>
      </c>
      <c r="J369" s="15">
        <f>'Fiscal Forecasts'!J$344</f>
        <v>3.2090000000000001</v>
      </c>
      <c r="K369" s="15">
        <f>'Fiscal Forecasts'!K$344</f>
        <v>3.593</v>
      </c>
      <c r="L369" s="6">
        <f ca="1">IF(L$6=OFFSET(Assumptions!$B$8,0,$C$1),AVERAGE(I$369/(I$366-I$368+I$369),J$369/(J$366-J$368+J$369),K$369/(K$366-K$368+K$369)),K$369/(K$366-Exogenous!R$10-K$368+K$369))*Exogenous!S$7</f>
        <v>3.2094362994605494</v>
      </c>
      <c r="M369" s="6">
        <f ca="1">IF(M$6=OFFSET(Assumptions!$B$8,0,$C$1),AVERAGE(J$369/(J$366-J$368+J$369),K$369/(K$366-K$368+K$369),L$369/(L$366-L$368+L$369)),L$369/(L$366-Exogenous!S$10-L$368+L$369))*Exogenous!T$7</f>
        <v>3.6218845559978323</v>
      </c>
      <c r="N369" s="6">
        <f ca="1">IF(N$6=OFFSET(Assumptions!$B$8,0,$C$1),AVERAGE(K$369/(K$366-K$368+K$369),L$369/(L$366-L$368+L$369),M$369/(M$366-M$368+M$369)),M$369/(M$366-Exogenous!T$10-M$368+M$369))*Exogenous!U$7</f>
        <v>4.0674590042804812</v>
      </c>
      <c r="O369" s="6">
        <f ca="1">IF(O$6=OFFSET(Assumptions!$B$8,0,$C$1),AVERAGE(L$369/(L$366-L$368+L$369),M$369/(M$366-M$368+M$369),N$369/(N$366-N$368+N$369)),N$369/(N$366-Exogenous!U$10-N$368+N$369))*Exogenous!V$7</f>
        <v>4.5457869515093901</v>
      </c>
      <c r="P369" s="6">
        <f ca="1">IF(P$6=OFFSET(Assumptions!$B$8,0,$C$1),AVERAGE(M$369/(M$366-M$368+M$369),N$369/(N$366-N$368+N$369),O$369/(O$366-O$368+O$369)),O$369/(O$366-Exogenous!V$10-O$368+O$369))*Exogenous!W$7</f>
        <v>5.0570814337016374</v>
      </c>
      <c r="Q369" s="6">
        <f ca="1">IF(Q$6=OFFSET(Assumptions!$B$8,0,$C$1),AVERAGE(N$369/(N$366-N$368+N$369),O$369/(O$366-O$368+O$369),P$369/(P$366-P$368+P$369)),P$369/(P$366-Exogenous!W$10-P$368+P$369))*Exogenous!X$7</f>
        <v>5.4680177129874448</v>
      </c>
      <c r="R369" s="6">
        <f ca="1">IF(R$6=OFFSET(Assumptions!$B$8,0,$C$1),AVERAGE(O$369/(O$366-O$368+O$369),P$369/(P$366-P$368+P$369),Q$369/(Q$366-Q$368+Q$369)),Q$369/(Q$366-Exogenous!X$10-Q$368+Q$369))*Exogenous!Y$7</f>
        <v>5.8801288174281607</v>
      </c>
      <c r="S369" s="6">
        <f ca="1">IF(S$6=OFFSET(Assumptions!$B$8,0,$C$1),AVERAGE(P$369/(P$366-P$368+P$369),Q$369/(Q$366-Q$368+Q$369),R$369/(R$366-R$368+R$369)),R$369/(R$366-Exogenous!Y$10-R$368+R$369))*Exogenous!Z$7</f>
        <v>6.3013958269500394</v>
      </c>
      <c r="T369" s="6">
        <f ca="1">IF(T$6=OFFSET(Assumptions!$B$8,0,$C$1),AVERAGE(Q$369/(Q$366-Q$368+Q$369),R$369/(R$366-R$368+R$369),S$369/(S$366-S$368+S$369)),S$369/(S$366-Exogenous!Z$10-S$368+S$369))*Exogenous!AA$7</f>
        <v>6.7338295920476483</v>
      </c>
      <c r="U369" s="6">
        <f ca="1">IF(U$6=OFFSET(Assumptions!$B$8,0,$C$1),AVERAGE(R$369/(R$366-R$368+R$369),S$369/(S$366-S$368+S$369),T$369/(T$366-T$368+T$369)),T$369/(T$366-Exogenous!AA$10-T$368+T$369))*Exogenous!AB$7</f>
        <v>7.1780509922627429</v>
      </c>
    </row>
    <row r="370" spans="1:21" ht="15" x14ac:dyDescent="0.25">
      <c r="A370" s="2" t="s">
        <v>506</v>
      </c>
      <c r="D370" s="34">
        <f t="shared" ref="D370:K370" si="175">SUM(D$366,D$369)-SUM(D$367,D$368)</f>
        <v>3.6720000000000006</v>
      </c>
      <c r="E370" s="34">
        <f t="shared" si="175"/>
        <v>2.6000000000000023E-2</v>
      </c>
      <c r="F370" s="34">
        <f t="shared" si="175"/>
        <v>4.9789999999999992</v>
      </c>
      <c r="G370" s="33">
        <f t="shared" si="175"/>
        <v>3.8160000000000003</v>
      </c>
      <c r="H370" s="33">
        <f t="shared" si="175"/>
        <v>2.5660000000000003</v>
      </c>
      <c r="I370" s="33">
        <f t="shared" si="175"/>
        <v>2.8109999999999995</v>
      </c>
      <c r="J370" s="33">
        <f t="shared" si="175"/>
        <v>3.1110000000000007</v>
      </c>
      <c r="K370" s="33">
        <f t="shared" si="175"/>
        <v>3.4809999999999999</v>
      </c>
      <c r="L370" s="37">
        <f t="shared" ref="L370:U370" ca="1" si="176">SUM(L$366,-L$367,-L$368,L$369)</f>
        <v>3.1477525432368134</v>
      </c>
      <c r="M370" s="37">
        <f t="shared" ca="1" si="176"/>
        <v>3.552273751115917</v>
      </c>
      <c r="N370" s="37">
        <f t="shared" ca="1" si="176"/>
        <v>3.9892844819469961</v>
      </c>
      <c r="O370" s="37">
        <f t="shared" ca="1" si="176"/>
        <v>4.4584192058996468</v>
      </c>
      <c r="P370" s="37">
        <f t="shared" ca="1" si="176"/>
        <v>4.9598868645455321</v>
      </c>
      <c r="Q370" s="37">
        <f t="shared" ca="1" si="176"/>
        <v>5.3629251546177148</v>
      </c>
      <c r="R370" s="37">
        <f t="shared" ca="1" si="176"/>
        <v>5.7671156902944736</v>
      </c>
      <c r="S370" s="37">
        <f t="shared" ca="1" si="176"/>
        <v>6.180286159148193</v>
      </c>
      <c r="T370" s="37">
        <f t="shared" ca="1" si="176"/>
        <v>6.6044087641353251</v>
      </c>
      <c r="U370" s="37">
        <f t="shared" ca="1" si="176"/>
        <v>7.0400924518041883</v>
      </c>
    </row>
    <row r="371" spans="1:21" x14ac:dyDescent="0.2">
      <c r="A371" s="1" t="s">
        <v>507</v>
      </c>
      <c r="B371" s="4" t="str">
        <f t="shared" si="174"/>
        <v>From Fiscal</v>
      </c>
      <c r="D371" s="14">
        <f>'Fiscal Forecasts'!D$345</f>
        <v>0</v>
      </c>
      <c r="E371" s="14">
        <f>'Fiscal Forecasts'!E$345</f>
        <v>0</v>
      </c>
      <c r="F371" s="14">
        <f>'Fiscal Forecasts'!F$345</f>
        <v>0</v>
      </c>
      <c r="G371" s="15">
        <f>'Fiscal Forecasts'!G$345</f>
        <v>0.5</v>
      </c>
      <c r="H371" s="15">
        <f>'Fiscal Forecasts'!H$345</f>
        <v>1</v>
      </c>
      <c r="I371" s="15">
        <f>'Fiscal Forecasts'!I$345</f>
        <v>1.5</v>
      </c>
      <c r="J371" s="15">
        <f>'Fiscal Forecasts'!J$345</f>
        <v>2.2000000000000002</v>
      </c>
      <c r="K371" s="15">
        <f>'Fiscal Forecasts'!K$345</f>
        <v>2.5</v>
      </c>
      <c r="L371" s="6">
        <f>Exogenous!S$9</f>
        <v>2.6509999999999998</v>
      </c>
      <c r="M371" s="6">
        <f>Exogenous!T$9</f>
        <v>2.54</v>
      </c>
      <c r="N371" s="6">
        <f>Exogenous!U$9</f>
        <v>2.3679999999999999</v>
      </c>
      <c r="O371" s="6">
        <f>Exogenous!V$9</f>
        <v>2.137</v>
      </c>
      <c r="P371" s="6">
        <f>Exogenous!W$9</f>
        <v>1.8720000000000001</v>
      </c>
      <c r="Q371" s="6">
        <f>Exogenous!X$9</f>
        <v>1.595</v>
      </c>
      <c r="R371" s="6">
        <f>Exogenous!Y$9</f>
        <v>1.323</v>
      </c>
      <c r="S371" s="6">
        <f>Exogenous!Z$9</f>
        <v>1.0920000000000001</v>
      </c>
      <c r="T371" s="6">
        <f>Exogenous!AA$9</f>
        <v>0.86699999999999999</v>
      </c>
      <c r="U371" s="6">
        <f>Exogenous!AB$9</f>
        <v>0.63400000000000001</v>
      </c>
    </row>
    <row r="372" spans="1:21" x14ac:dyDescent="0.2">
      <c r="A372" s="1" t="s">
        <v>86</v>
      </c>
      <c r="B372" s="4" t="str">
        <f t="shared" si="174"/>
        <v>From Fiscal</v>
      </c>
      <c r="D372" s="14">
        <f>'Fiscal Forecasts'!D$346</f>
        <v>4.1000000000000002E-2</v>
      </c>
      <c r="E372" s="14">
        <f>'Fiscal Forecasts'!E$346</f>
        <v>-2.1000000000000001E-2</v>
      </c>
      <c r="F372" s="14">
        <f>'Fiscal Forecasts'!F$346</f>
        <v>0</v>
      </c>
      <c r="G372" s="15">
        <f>'Fiscal Forecasts'!G$346</f>
        <v>4.2999999999999997E-2</v>
      </c>
      <c r="H372" s="15">
        <f>'Fiscal Forecasts'!H$346</f>
        <v>2.7E-2</v>
      </c>
      <c r="I372" s="15">
        <f>'Fiscal Forecasts'!I$346</f>
        <v>3.1E-2</v>
      </c>
      <c r="J372" s="15">
        <f>'Fiscal Forecasts'!J$346</f>
        <v>3.5000000000000003E-2</v>
      </c>
      <c r="K372" s="15">
        <f>'Fiscal Forecasts'!K$346</f>
        <v>0.04</v>
      </c>
      <c r="L372" s="6">
        <f ca="1">IF(L$6=OFFSET(Assumptions!$B$8,0,$C$1),0,K$372)</f>
        <v>0</v>
      </c>
      <c r="M372" s="6">
        <f ca="1">IF(M$6=OFFSET(Assumptions!$B$8,0,$C$1),0,L$372)</f>
        <v>0</v>
      </c>
      <c r="N372" s="6">
        <f ca="1">IF(N$6=OFFSET(Assumptions!$B$8,0,$C$1),0,M$372)</f>
        <v>0</v>
      </c>
      <c r="O372" s="6">
        <f ca="1">IF(O$6=OFFSET(Assumptions!$B$8,0,$C$1),0,N$372)</f>
        <v>0</v>
      </c>
      <c r="P372" s="6">
        <f ca="1">IF(P$6=OFFSET(Assumptions!$B$8,0,$C$1),0,O$372)</f>
        <v>0</v>
      </c>
      <c r="Q372" s="6">
        <f ca="1">IF(Q$6=OFFSET(Assumptions!$B$8,0,$C$1),0,P$372)</f>
        <v>0</v>
      </c>
      <c r="R372" s="6">
        <f ca="1">IF(R$6=OFFSET(Assumptions!$B$8,0,$C$1),0,Q$372)</f>
        <v>0</v>
      </c>
      <c r="S372" s="6">
        <f ca="1">IF(S$6=OFFSET(Assumptions!$B$8,0,$C$1),0,R$372)</f>
        <v>0</v>
      </c>
      <c r="T372" s="6">
        <f ca="1">IF(T$6=OFFSET(Assumptions!$B$8,0,$C$1),0,S$372)</f>
        <v>0</v>
      </c>
      <c r="U372" s="6">
        <f ca="1">IF(U$6=OFFSET(Assumptions!$B$8,0,$C$1),0,T$372)</f>
        <v>0</v>
      </c>
    </row>
    <row r="373" spans="1:21" ht="15" x14ac:dyDescent="0.25">
      <c r="A373" s="2" t="s">
        <v>370</v>
      </c>
      <c r="C373" s="60">
        <f>'Fiscal Forecasts'!C$347</f>
        <v>25.809000000000001</v>
      </c>
      <c r="D373" s="34">
        <f t="shared" ref="D373:U373" si="177">SUM(C$373,D$370:D$372)</f>
        <v>29.522000000000002</v>
      </c>
      <c r="E373" s="34">
        <f t="shared" si="177"/>
        <v>29.527000000000001</v>
      </c>
      <c r="F373" s="34">
        <f t="shared" si="177"/>
        <v>34.506</v>
      </c>
      <c r="G373" s="33">
        <f t="shared" si="177"/>
        <v>38.865000000000002</v>
      </c>
      <c r="H373" s="33">
        <f t="shared" si="177"/>
        <v>42.458000000000006</v>
      </c>
      <c r="I373" s="33">
        <f t="shared" si="177"/>
        <v>46.800000000000004</v>
      </c>
      <c r="J373" s="33">
        <f t="shared" si="177"/>
        <v>52.146000000000001</v>
      </c>
      <c r="K373" s="33">
        <f t="shared" si="177"/>
        <v>58.167000000000002</v>
      </c>
      <c r="L373" s="37">
        <f t="shared" ca="1" si="177"/>
        <v>63.965752543236817</v>
      </c>
      <c r="M373" s="37">
        <f t="shared" ca="1" si="177"/>
        <v>70.058026294352743</v>
      </c>
      <c r="N373" s="37">
        <f t="shared" ca="1" si="177"/>
        <v>76.415310776299734</v>
      </c>
      <c r="O373" s="37">
        <f t="shared" ca="1" si="177"/>
        <v>83.010729982199379</v>
      </c>
      <c r="P373" s="37">
        <f t="shared" ca="1" si="177"/>
        <v>89.842616846744917</v>
      </c>
      <c r="Q373" s="37">
        <f t="shared" ca="1" si="177"/>
        <v>96.800542001362629</v>
      </c>
      <c r="R373" s="37">
        <f t="shared" ca="1" si="177"/>
        <v>103.8906576916571</v>
      </c>
      <c r="S373" s="37">
        <f t="shared" ca="1" si="177"/>
        <v>111.16294385080529</v>
      </c>
      <c r="T373" s="37">
        <f t="shared" ca="1" si="177"/>
        <v>118.63435261494062</v>
      </c>
      <c r="U373" s="37">
        <f t="shared" ca="1" si="177"/>
        <v>126.30844506674481</v>
      </c>
    </row>
    <row r="374" spans="1:21" x14ac:dyDescent="0.2">
      <c r="A374" s="4" t="s">
        <v>510</v>
      </c>
    </row>
    <row r="375" spans="1:21" x14ac:dyDescent="0.2">
      <c r="A375" s="1" t="s">
        <v>371</v>
      </c>
      <c r="B375" s="4" t="str">
        <f t="shared" ref="B375:B380" si="178">$B$37</f>
        <v>From Fiscal</v>
      </c>
      <c r="D375" s="14">
        <f>'Fiscal Forecasts'!D$348</f>
        <v>31.274000000000001</v>
      </c>
      <c r="E375" s="14">
        <f>'Fiscal Forecasts'!E$348</f>
        <v>30.561</v>
      </c>
      <c r="F375" s="14">
        <f>'Fiscal Forecasts'!F$348</f>
        <v>37.344999999999999</v>
      </c>
      <c r="G375" s="15">
        <f>'Fiscal Forecasts'!G$348</f>
        <v>40.540999999999997</v>
      </c>
      <c r="H375" s="15">
        <f>'Fiscal Forecasts'!H$348</f>
        <v>43.953000000000003</v>
      </c>
      <c r="I375" s="15">
        <f>'Fiscal Forecasts'!I$348</f>
        <v>48.384999999999998</v>
      </c>
      <c r="J375" s="15">
        <f>'Fiscal Forecasts'!J$348</f>
        <v>53.863</v>
      </c>
      <c r="K375" s="15">
        <f>'Fiscal Forecasts'!K$348</f>
        <v>59.954000000000001</v>
      </c>
      <c r="L375" s="6">
        <f t="shared" ref="L375:U375" ca="1" si="179">SUM(L$335,L$341,L$348,L$357,L$380)</f>
        <v>64.414500111681775</v>
      </c>
      <c r="M375" s="6">
        <f t="shared" ca="1" si="179"/>
        <v>70.586034369413355</v>
      </c>
      <c r="N375" s="6">
        <f t="shared" ca="1" si="179"/>
        <v>77.005330718043638</v>
      </c>
      <c r="O375" s="6">
        <f t="shared" ca="1" si="179"/>
        <v>83.665727135412055</v>
      </c>
      <c r="P375" s="6">
        <f t="shared" ca="1" si="179"/>
        <v>90.565361478384176</v>
      </c>
      <c r="Q375" s="6">
        <f t="shared" ca="1" si="179"/>
        <v>97.596960171359228</v>
      </c>
      <c r="R375" s="6">
        <f t="shared" ca="1" si="179"/>
        <v>104.76218994534018</v>
      </c>
      <c r="S375" s="6">
        <f t="shared" ca="1" si="179"/>
        <v>112.10963015333382</v>
      </c>
      <c r="T375" s="6">
        <f t="shared" ca="1" si="179"/>
        <v>119.65768677217672</v>
      </c>
      <c r="U375" s="6">
        <f t="shared" ca="1" si="179"/>
        <v>127.41055778400737</v>
      </c>
    </row>
    <row r="376" spans="1:21" x14ac:dyDescent="0.2">
      <c r="A376" s="1" t="s">
        <v>511</v>
      </c>
      <c r="B376" s="4" t="str">
        <f t="shared" si="178"/>
        <v>From Fiscal</v>
      </c>
      <c r="D376" s="14">
        <f>-'Fiscal Forecasts'!D$349</f>
        <v>3.145</v>
      </c>
      <c r="E376" s="14">
        <f>-'Fiscal Forecasts'!E$349</f>
        <v>2.58</v>
      </c>
      <c r="F376" s="14">
        <f>-'Fiscal Forecasts'!F$349</f>
        <v>4.6559999999999997</v>
      </c>
      <c r="G376" s="15">
        <f>-'Fiscal Forecasts'!G$349</f>
        <v>3.53</v>
      </c>
      <c r="H376" s="15">
        <f>-'Fiscal Forecasts'!H$349</f>
        <v>3.4649999999999999</v>
      </c>
      <c r="I376" s="15">
        <f>-'Fiscal Forecasts'!I$349</f>
        <v>3.6179999999999999</v>
      </c>
      <c r="J376" s="15">
        <f>-'Fiscal Forecasts'!J$349</f>
        <v>3.8159999999999998</v>
      </c>
      <c r="K376" s="15">
        <f>-'Fiscal Forecasts'!K$349</f>
        <v>3.9550000000000001</v>
      </c>
      <c r="L376" s="6">
        <f t="shared" ref="L376:U376" ca="1" si="180">SUM(L$69,L$448)</f>
        <v>4.3200706574778431</v>
      </c>
      <c r="M376" s="6">
        <f t="shared" ca="1" si="180"/>
        <v>4.7665739120698296</v>
      </c>
      <c r="N376" s="6">
        <f t="shared" ca="1" si="180"/>
        <v>5.2105362663298544</v>
      </c>
      <c r="O376" s="6">
        <f t="shared" ca="1" si="180"/>
        <v>5.6718106156061161</v>
      </c>
      <c r="P376" s="6">
        <f t="shared" ca="1" si="180"/>
        <v>6.1500907755696534</v>
      </c>
      <c r="Q376" s="6">
        <f t="shared" ca="1" si="180"/>
        <v>6.6421570202569615</v>
      </c>
      <c r="R376" s="6">
        <f t="shared" ca="1" si="180"/>
        <v>7.1436151691259884</v>
      </c>
      <c r="S376" s="6">
        <f t="shared" ca="1" si="180"/>
        <v>7.6559518760019465</v>
      </c>
      <c r="T376" s="6">
        <f t="shared" ca="1" si="180"/>
        <v>8.1817183654628174</v>
      </c>
      <c r="U376" s="6">
        <f t="shared" ca="1" si="180"/>
        <v>8.7218023566456591</v>
      </c>
    </row>
    <row r="377" spans="1:21" x14ac:dyDescent="0.2">
      <c r="A377" s="1" t="s">
        <v>373</v>
      </c>
      <c r="B377" s="4" t="str">
        <f t="shared" si="178"/>
        <v>From Fiscal</v>
      </c>
      <c r="D377" s="14">
        <f>'Fiscal Forecasts'!D$350</f>
        <v>1.393</v>
      </c>
      <c r="E377" s="14">
        <f>'Fiscal Forecasts'!E$350</f>
        <v>1.546</v>
      </c>
      <c r="F377" s="14">
        <f>'Fiscal Forecasts'!F$350</f>
        <v>1.8169999999999999</v>
      </c>
      <c r="G377" s="15">
        <f>'Fiscal Forecasts'!G$350</f>
        <v>1.8540000000000001</v>
      </c>
      <c r="H377" s="15">
        <f>'Fiscal Forecasts'!H$350</f>
        <v>1.97</v>
      </c>
      <c r="I377" s="15">
        <f>'Fiscal Forecasts'!I$350</f>
        <v>2.0329999999999999</v>
      </c>
      <c r="J377" s="15">
        <f>'Fiscal Forecasts'!J$350</f>
        <v>2.0990000000000002</v>
      </c>
      <c r="K377" s="15">
        <f>'Fiscal Forecasts'!K$350</f>
        <v>2.1680000000000001</v>
      </c>
      <c r="L377" s="6">
        <f t="shared" ref="L377:U377" ca="1" si="181">SUM(L$406,L$420)</f>
        <v>3.8713230890328933</v>
      </c>
      <c r="M377" s="6">
        <f t="shared" ca="1" si="181"/>
        <v>4.2385658370092107</v>
      </c>
      <c r="N377" s="6">
        <f t="shared" ca="1" si="181"/>
        <v>4.6205163245859424</v>
      </c>
      <c r="O377" s="6">
        <f t="shared" ca="1" si="181"/>
        <v>5.0168134623934213</v>
      </c>
      <c r="P377" s="6">
        <f t="shared" ca="1" si="181"/>
        <v>5.4273461439303965</v>
      </c>
      <c r="Q377" s="6">
        <f t="shared" ca="1" si="181"/>
        <v>5.8457388502603509</v>
      </c>
      <c r="R377" s="6">
        <f t="shared" ca="1" si="181"/>
        <v>6.2720829154429039</v>
      </c>
      <c r="S377" s="6">
        <f t="shared" ca="1" si="181"/>
        <v>6.7092655734734254</v>
      </c>
      <c r="T377" s="6">
        <f t="shared" ca="1" si="181"/>
        <v>7.1583842082267255</v>
      </c>
      <c r="U377" s="6">
        <f t="shared" ca="1" si="181"/>
        <v>7.6196896393831146</v>
      </c>
    </row>
    <row r="378" spans="1:21" x14ac:dyDescent="0.2">
      <c r="B378" s="4"/>
    </row>
    <row r="379" spans="1:21" x14ac:dyDescent="0.2">
      <c r="A379" s="18" t="s">
        <v>216</v>
      </c>
      <c r="B379" s="4"/>
      <c r="D379" s="14"/>
      <c r="E379" s="14"/>
      <c r="F379" s="14"/>
      <c r="G379" s="15"/>
      <c r="H379" s="15"/>
      <c r="I379" s="15"/>
      <c r="J379" s="15"/>
      <c r="K379" s="15"/>
      <c r="L379" s="15"/>
      <c r="M379" s="15"/>
      <c r="N379" s="15"/>
      <c r="O379" s="15"/>
      <c r="P379" s="15"/>
      <c r="Q379" s="15"/>
      <c r="R379" s="15"/>
      <c r="S379" s="15"/>
      <c r="T379" s="15"/>
      <c r="U379" s="15"/>
    </row>
    <row r="380" spans="1:21" x14ac:dyDescent="0.2">
      <c r="A380" s="1" t="s">
        <v>586</v>
      </c>
      <c r="B380" s="4" t="str">
        <f t="shared" si="178"/>
        <v>From Fiscal</v>
      </c>
      <c r="D380" s="14">
        <f>'Fiscal Forecasts'!D$171-D$73</f>
        <v>0.96799999999999997</v>
      </c>
      <c r="E380" s="14">
        <f>'Fiscal Forecasts'!E$171-E$73</f>
        <v>1.375</v>
      </c>
      <c r="F380" s="14">
        <f>'Fiscal Forecasts'!F$171-F$73</f>
        <v>0.99399999999999977</v>
      </c>
      <c r="G380" s="15">
        <f>'Fiscal Forecasts'!G$171-G$73</f>
        <v>1.0530000000000008</v>
      </c>
      <c r="H380" s="15">
        <f>'Fiscal Forecasts'!H$171-H$73</f>
        <v>1.0549999999999997</v>
      </c>
      <c r="I380" s="15">
        <f>'Fiscal Forecasts'!I$171-I$73</f>
        <v>1.0540000000000003</v>
      </c>
      <c r="J380" s="15">
        <f>'Fiscal Forecasts'!J$171-J$73</f>
        <v>1.0530000000000008</v>
      </c>
      <c r="K380" s="15">
        <f>'Fiscal Forecasts'!K$171-K$73</f>
        <v>1.0539999999999985</v>
      </c>
      <c r="L380" s="6">
        <f ca="1">OFFSET(Assumptions!$B$74,0,$C$1)/SUM(OFFSET(Assumptions!$B$71,0,$C$1,6,1))*SUM(L$373,L$69,-L$341,L$448)</f>
        <v>1.2904410296776312</v>
      </c>
      <c r="M380" s="6">
        <f ca="1">OFFSET(Assumptions!$B$74,0,$C$1)/SUM(OFFSET(Assumptions!$B$71,0,$C$1,6,1))*SUM(M$373,M$69,-M$341,M$448)</f>
        <v>1.4128552790030702</v>
      </c>
      <c r="N380" s="6">
        <f ca="1">OFFSET(Assumptions!$B$74,0,$C$1)/SUM(OFFSET(Assumptions!$B$71,0,$C$1,6,1))*SUM(N$373,N$69,-N$341,N$448)</f>
        <v>1.5401721081953141</v>
      </c>
      <c r="O380" s="6">
        <f ca="1">OFFSET(Assumptions!$B$74,0,$C$1)/SUM(OFFSET(Assumptions!$B$71,0,$C$1,6,1))*SUM(O$373,O$69,-O$341,O$448)</f>
        <v>1.6722711541311404</v>
      </c>
      <c r="P380" s="6">
        <f ca="1">OFFSET(Assumptions!$B$74,0,$C$1)/SUM(OFFSET(Assumptions!$B$71,0,$C$1,6,1))*SUM(P$373,P$69,-P$341,P$448)</f>
        <v>1.8091153813101322</v>
      </c>
      <c r="Q380" s="6">
        <f ca="1">OFFSET(Assumptions!$B$74,0,$C$1)/SUM(OFFSET(Assumptions!$B$71,0,$C$1,6,1))*SUM(Q$373,Q$69,-Q$341,Q$448)</f>
        <v>1.9485796167534504</v>
      </c>
      <c r="R380" s="6">
        <f ca="1">OFFSET(Assumptions!$B$74,0,$C$1)/SUM(OFFSET(Assumptions!$B$71,0,$C$1,6,1))*SUM(R$373,R$69,-R$341,R$448)</f>
        <v>2.0906943051476348</v>
      </c>
      <c r="S380" s="6">
        <f ca="1">OFFSET(Assumptions!$B$74,0,$C$1)/SUM(OFFSET(Assumptions!$B$71,0,$C$1,6,1))*SUM(S$373,S$69,-S$341,S$448)</f>
        <v>2.2364218578244754</v>
      </c>
      <c r="T380" s="6">
        <f ca="1">OFFSET(Assumptions!$B$74,0,$C$1)/SUM(OFFSET(Assumptions!$B$71,0,$C$1,6,1))*SUM(T$373,T$69,-T$341,T$448)</f>
        <v>2.3861280694089086</v>
      </c>
      <c r="U380" s="6">
        <f ca="1">OFFSET(Assumptions!$B$74,0,$C$1)/SUM(OFFSET(Assumptions!$B$71,0,$C$1,6,1))*SUM(U$373,U$69,-U$341,U$448)</f>
        <v>2.5398965464610384</v>
      </c>
    </row>
    <row r="381" spans="1:21" x14ac:dyDescent="0.2">
      <c r="A381" s="1" t="s">
        <v>500</v>
      </c>
      <c r="B381" s="4"/>
      <c r="D381" s="14">
        <f t="shared" ref="D381:U381" si="182">D$395</f>
        <v>8.8639999999999972</v>
      </c>
      <c r="E381" s="14">
        <f t="shared" si="182"/>
        <v>8.9819999999999958</v>
      </c>
      <c r="F381" s="14">
        <f t="shared" si="182"/>
        <v>9.1969999999999938</v>
      </c>
      <c r="G381" s="15">
        <f t="shared" si="182"/>
        <v>9.3169999999999931</v>
      </c>
      <c r="H381" s="15">
        <f t="shared" si="182"/>
        <v>9.2169999999999934</v>
      </c>
      <c r="I381" s="15">
        <f t="shared" si="182"/>
        <v>9.0389999999999926</v>
      </c>
      <c r="J381" s="15">
        <f t="shared" si="182"/>
        <v>8.7889999999999926</v>
      </c>
      <c r="K381" s="15">
        <f t="shared" si="182"/>
        <v>8.4489999999999927</v>
      </c>
      <c r="L381" s="6">
        <f t="shared" si="182"/>
        <v>8.1979999999999933</v>
      </c>
      <c r="M381" s="6">
        <f t="shared" si="182"/>
        <v>7.978999999999993</v>
      </c>
      <c r="N381" s="6">
        <f t="shared" si="182"/>
        <v>7.7839999999999927</v>
      </c>
      <c r="O381" s="6">
        <f t="shared" si="182"/>
        <v>7.608999999999992</v>
      </c>
      <c r="P381" s="6">
        <f t="shared" si="182"/>
        <v>7.454999999999993</v>
      </c>
      <c r="Q381" s="6">
        <f t="shared" si="182"/>
        <v>7.3189999999999928</v>
      </c>
      <c r="R381" s="6">
        <f t="shared" si="182"/>
        <v>7.196999999999993</v>
      </c>
      <c r="S381" s="6">
        <f t="shared" si="182"/>
        <v>7.0859999999999914</v>
      </c>
      <c r="T381" s="6">
        <f t="shared" si="182"/>
        <v>6.98599999999999</v>
      </c>
      <c r="U381" s="6">
        <f t="shared" si="182"/>
        <v>6.8909999999999902</v>
      </c>
    </row>
    <row r="382" spans="1:21" x14ac:dyDescent="0.2">
      <c r="A382" s="1" t="s">
        <v>587</v>
      </c>
      <c r="B382" s="4"/>
      <c r="D382" s="14">
        <f t="shared" ref="D382:K382" si="183">D$73-D$395</f>
        <v>5.2760000000000034</v>
      </c>
      <c r="E382" s="14">
        <f t="shared" si="183"/>
        <v>5.6300000000000043</v>
      </c>
      <c r="F382" s="14">
        <f t="shared" si="183"/>
        <v>2.8170000000000055</v>
      </c>
      <c r="G382" s="15">
        <f t="shared" si="183"/>
        <v>2.6260000000000066</v>
      </c>
      <c r="H382" s="15">
        <f t="shared" si="183"/>
        <v>2.7670000000000066</v>
      </c>
      <c r="I382" s="15">
        <f t="shared" si="183"/>
        <v>2.9120000000000079</v>
      </c>
      <c r="J382" s="15">
        <f t="shared" si="183"/>
        <v>3.0220000000000073</v>
      </c>
      <c r="K382" s="15">
        <f t="shared" si="183"/>
        <v>3.117000000000008</v>
      </c>
      <c r="L382" s="6">
        <f ca="1">(K$382/K$13+ IF(L$2&gt;0,L$2*IF(L$6=OFFSET(Assumptions!$B$8,0,$C$1),SUMPRODUCT(OFFSET(K$382,0,0,1,-OFFSET(Assumptions!$B$84,0,$C$1)),OFFSET(K$15,0,0,1,-OFFSET(Assumptions!$B$84,0,$C$1)))/OFFSET(Assumptions!$B$84,0,$C$1)-K$382/K$13,(K$382/K$13-J$382/J$13)/K$2),0))*L$13</f>
        <v>3.2756792916031934</v>
      </c>
      <c r="M382" s="6">
        <f ca="1">(L$382/L$13+ IF(M$2&gt;0,M$2*IF(M$6=OFFSET(Assumptions!$B$8,0,$C$1),SUMPRODUCT(OFFSET(L$382,0,0,1,-OFFSET(Assumptions!$B$84,0,$C$1)),OFFSET(L$15,0,0,1,-OFFSET(Assumptions!$B$84,0,$C$1)))/OFFSET(Assumptions!$B$84,0,$C$1)-L$382/L$13,(L$382/L$13-K$382/K$13)/L$2),0))*M$13</f>
        <v>3.4354931534713842</v>
      </c>
      <c r="N382" s="6">
        <f ca="1">(M$382/M$13+ IF(N$2&gt;0,N$2*IF(N$6=OFFSET(Assumptions!$B$8,0,$C$1),SUMPRODUCT(OFFSET(M$382,0,0,1,-OFFSET(Assumptions!$B$84,0,$C$1)),OFFSET(M$15,0,0,1,-OFFSET(Assumptions!$B$84,0,$C$1)))/OFFSET(Assumptions!$B$84,0,$C$1)-M$382/M$13,(M$382/M$13-L$382/L$13)/M$2),0))*N$13</f>
        <v>3.5967645080952058</v>
      </c>
      <c r="O382" s="6">
        <f ca="1">(N$382/N$13+ IF(O$2&gt;0,O$2*IF(O$6=OFFSET(Assumptions!$B$8,0,$C$1),SUMPRODUCT(OFFSET(N$382,0,0,1,-OFFSET(Assumptions!$B$84,0,$C$1)),OFFSET(N$15,0,0,1,-OFFSET(Assumptions!$B$84,0,$C$1)))/OFFSET(Assumptions!$B$84,0,$C$1)-N$382/N$13,(N$382/N$13-M$382/M$13)/N$2),0))*O$13</f>
        <v>3.7598223842709846</v>
      </c>
      <c r="P382" s="6">
        <f ca="1">(O$382/O$13+ IF(P$2&gt;0,P$2*IF(P$6=OFFSET(Assumptions!$B$8,0,$C$1),SUMPRODUCT(OFFSET(O$382,0,0,1,-OFFSET(Assumptions!$B$84,0,$C$1)),OFFSET(O$15,0,0,1,-OFFSET(Assumptions!$B$84,0,$C$1)))/OFFSET(Assumptions!$B$84,0,$C$1)-O$382/O$13,(O$382/O$13-N$382/N$13)/O$2),0))*P$13</f>
        <v>3.9257443831601284</v>
      </c>
      <c r="Q382" s="6">
        <f ca="1">(P$382/P$13+ IF(Q$2&gt;0,Q$2*IF(Q$6=OFFSET(Assumptions!$B$8,0,$C$1),SUMPRODUCT(OFFSET(P$382,0,0,1,-OFFSET(Assumptions!$B$84,0,$C$1)),OFFSET(P$15,0,0,1,-OFFSET(Assumptions!$B$84,0,$C$1)))/OFFSET(Assumptions!$B$84,0,$C$1)-P$382/P$13,(P$382/P$13-O$382/O$13)/P$2),0))*Q$13</f>
        <v>4.0944319027681626</v>
      </c>
      <c r="R382" s="6">
        <f ca="1">(Q$382/Q$13+ IF(R$2&gt;0,R$2*IF(R$6=OFFSET(Assumptions!$B$8,0,$C$1),SUMPRODUCT(OFFSET(Q$382,0,0,1,-OFFSET(Assumptions!$B$84,0,$C$1)),OFFSET(Q$15,0,0,1,-OFFSET(Assumptions!$B$84,0,$C$1)))/OFFSET(Assumptions!$B$84,0,$C$1)-Q$382/Q$13,(Q$382/Q$13-P$382/P$13)/Q$2),0))*R$13</f>
        <v>4.2684446776139922</v>
      </c>
      <c r="S382" s="6">
        <f ca="1">(R$382/R$13+ IF(S$2&gt;0,S$2*IF(S$6=OFFSET(Assumptions!$B$8,0,$C$1),SUMPRODUCT(OFFSET(R$382,0,0,1,-OFFSET(Assumptions!$B$84,0,$C$1)),OFFSET(R$15,0,0,1,-OFFSET(Assumptions!$B$84,0,$C$1)))/OFFSET(Assumptions!$B$84,0,$C$1)-R$382/R$13,(R$382/R$13-Q$382/Q$13)/R$2),0))*S$13</f>
        <v>4.4483009671501907</v>
      </c>
      <c r="T382" s="6">
        <f ca="1">(S$382/S$13+ IF(T$2&gt;0,T$2*IF(T$6=OFFSET(Assumptions!$B$8,0,$C$1),SUMPRODUCT(OFFSET(S$382,0,0,1,-OFFSET(Assumptions!$B$84,0,$C$1)),OFFSET(S$15,0,0,1,-OFFSET(Assumptions!$B$84,0,$C$1)))/OFFSET(Assumptions!$B$84,0,$C$1)-S$382/S$13,(S$382/S$13-R$382/R$13)/S$2),0))*T$13</f>
        <v>4.634164436835956</v>
      </c>
      <c r="U382" s="6">
        <f ca="1">(T$382/T$13+ IF(U$2&gt;0,U$2*IF(U$6=OFFSET(Assumptions!$B$8,0,$C$1),SUMPRODUCT(OFFSET(T$382,0,0,1,-OFFSET(Assumptions!$B$84,0,$C$1)),OFFSET(T$15,0,0,1,-OFFSET(Assumptions!$B$84,0,$C$1)))/OFFSET(Assumptions!$B$84,0,$C$1)-T$382/T$13,(T$382/T$13-S$382/S$13)/T$2),0))*U$13</f>
        <v>4.8265969410368417</v>
      </c>
    </row>
    <row r="383" spans="1:21" ht="15" x14ac:dyDescent="0.25">
      <c r="A383" s="2" t="s">
        <v>588</v>
      </c>
      <c r="B383" s="4"/>
      <c r="D383" s="34">
        <f t="shared" ref="D383:U383" si="184">SUM(D$380:D$382)</f>
        <v>15.108000000000001</v>
      </c>
      <c r="E383" s="34">
        <f t="shared" si="184"/>
        <v>15.987</v>
      </c>
      <c r="F383" s="34">
        <f t="shared" si="184"/>
        <v>13.007999999999999</v>
      </c>
      <c r="G383" s="33">
        <f t="shared" si="184"/>
        <v>12.996</v>
      </c>
      <c r="H383" s="33">
        <f t="shared" si="184"/>
        <v>13.039</v>
      </c>
      <c r="I383" s="33">
        <f t="shared" si="184"/>
        <v>13.005000000000001</v>
      </c>
      <c r="J383" s="33">
        <f t="shared" si="184"/>
        <v>12.864000000000001</v>
      </c>
      <c r="K383" s="33">
        <f t="shared" si="184"/>
        <v>12.62</v>
      </c>
      <c r="L383" s="37">
        <f t="shared" ca="1" si="184"/>
        <v>12.764120321280817</v>
      </c>
      <c r="M383" s="37">
        <f t="shared" ca="1" si="184"/>
        <v>12.827348432474448</v>
      </c>
      <c r="N383" s="37">
        <f t="shared" ca="1" si="184"/>
        <v>12.920936616290511</v>
      </c>
      <c r="O383" s="37">
        <f t="shared" ca="1" si="184"/>
        <v>13.041093538402118</v>
      </c>
      <c r="P383" s="37">
        <f t="shared" ca="1" si="184"/>
        <v>13.189859764470253</v>
      </c>
      <c r="Q383" s="37">
        <f t="shared" ca="1" si="184"/>
        <v>13.362011519521605</v>
      </c>
      <c r="R383" s="37">
        <f t="shared" ca="1" si="184"/>
        <v>13.55613898276162</v>
      </c>
      <c r="S383" s="37">
        <f t="shared" ca="1" si="184"/>
        <v>13.770722824974657</v>
      </c>
      <c r="T383" s="37">
        <f t="shared" ca="1" si="184"/>
        <v>14.006292506244854</v>
      </c>
      <c r="U383" s="37">
        <f t="shared" ca="1" si="184"/>
        <v>14.25749348749787</v>
      </c>
    </row>
    <row r="384" spans="1:21" x14ac:dyDescent="0.2">
      <c r="A384" s="1" t="s">
        <v>590</v>
      </c>
      <c r="B384" s="4" t="str">
        <f>$B$37</f>
        <v>From Fiscal</v>
      </c>
      <c r="D384" s="14">
        <f>'Fiscal Forecasts'!D$308</f>
        <v>15.598000000000001</v>
      </c>
      <c r="E384" s="14">
        <f>'Fiscal Forecasts'!E$308</f>
        <v>16.689</v>
      </c>
      <c r="F384" s="14">
        <f>'Fiscal Forecasts'!F$308</f>
        <v>17.795000000000002</v>
      </c>
      <c r="G384" s="15">
        <f>'Fiscal Forecasts'!G$308</f>
        <v>18.402000000000001</v>
      </c>
      <c r="H384" s="15">
        <f>'Fiscal Forecasts'!H$308</f>
        <v>19.501999999999999</v>
      </c>
      <c r="I384" s="15">
        <f>'Fiscal Forecasts'!I$308</f>
        <v>20.602</v>
      </c>
      <c r="J384" s="15">
        <f>'Fiscal Forecasts'!J$308</f>
        <v>21.702000000000002</v>
      </c>
      <c r="K384" s="15">
        <f>'Fiscal Forecasts'!K$308</f>
        <v>22.802</v>
      </c>
      <c r="L384" s="6">
        <f ca="1">IF(L$6=OFFSET(Assumptions!$B$8,0,$C$1),AVERAGE(I$384/I$13,J$384/J$13,K$384/K$13),K$384/K$13)*L$13</f>
        <v>23.730800783905444</v>
      </c>
      <c r="M384" s="6">
        <f ca="1">IF(M$6=OFFSET(Assumptions!$B$8,0,$C$1),AVERAGE(J$384/J$13,K$384/K$13,L$384/L$13),L$384/L$13)*M$13</f>
        <v>24.812828800442624</v>
      </c>
      <c r="N384" s="6">
        <f ca="1">IF(N$6=OFFSET(Assumptions!$B$8,0,$C$1),AVERAGE(K$384/K$13,L$384/L$13,M$384/M$13),M$384/M$13)*N$13</f>
        <v>25.918446501526986</v>
      </c>
      <c r="O384" s="6">
        <f ca="1">IF(O$6=OFFSET(Assumptions!$B$8,0,$C$1),AVERAGE(L$384/L$13,M$384/M$13,N$384/N$13),N$384/N$13)*O$13</f>
        <v>27.052374571270651</v>
      </c>
      <c r="P384" s="6">
        <f ca="1">IF(P$6=OFFSET(Assumptions!$B$8,0,$C$1),AVERAGE(M$384/M$13,N$384/N$13,O$384/O$13),O$384/O$13)*P$13</f>
        <v>28.224808586227763</v>
      </c>
      <c r="Q384" s="6">
        <f ca="1">IF(Q$6=OFFSET(Assumptions!$B$8,0,$C$1),AVERAGE(N$384/N$13,O$384/O$13,P$384/P$13),P$384/P$13)*Q$13</f>
        <v>29.437616269847169</v>
      </c>
      <c r="R384" s="6">
        <f ca="1">IF(R$6=OFFSET(Assumptions!$B$8,0,$C$1),AVERAGE(O$384/O$13,P$384/P$13,Q$384/Q$13),Q$384/Q$13)*R$13</f>
        <v>30.688710783960246</v>
      </c>
      <c r="S384" s="6">
        <f ca="1">IF(S$6=OFFSET(Assumptions!$B$8,0,$C$1),AVERAGE(P$384/P$13,Q$384/Q$13,R$384/R$13),R$384/R$13)*S$13</f>
        <v>31.981818243265071</v>
      </c>
      <c r="T384" s="6">
        <f ca="1">IF(T$6=OFFSET(Assumptions!$B$8,0,$C$1),AVERAGE(Q$384/Q$13,R$384/R$13,S$384/S$13),S$384/S$13)*T$13</f>
        <v>33.318115348485662</v>
      </c>
      <c r="U384" s="6">
        <f ca="1">IF(U$6=OFFSET(Assumptions!$B$8,0,$C$1),AVERAGE(R$384/R$13,S$384/S$13,T$384/T$13),T$384/T$13)*U$13</f>
        <v>34.701641647379923</v>
      </c>
    </row>
    <row r="385" spans="1:21" x14ac:dyDescent="0.2">
      <c r="A385" s="1" t="s">
        <v>591</v>
      </c>
      <c r="B385" s="4" t="str">
        <f>$B$37</f>
        <v>From Fiscal</v>
      </c>
      <c r="D385" s="14">
        <f>'Fiscal Forecasts'!D$118-SUM(D$383:D$384)</f>
        <v>-4.2090000000000032</v>
      </c>
      <c r="E385" s="14">
        <f>'Fiscal Forecasts'!E$118-SUM(E$383:E$384)</f>
        <v>-4.4420000000000002</v>
      </c>
      <c r="F385" s="14">
        <f>'Fiscal Forecasts'!F$118-SUM(F$383:F$384)</f>
        <v>-2.2200000000000024</v>
      </c>
      <c r="G385" s="15">
        <f>'Fiscal Forecasts'!G$118-SUM(G$383:G$384)</f>
        <v>-2.4130000000000038</v>
      </c>
      <c r="H385" s="15">
        <f>'Fiscal Forecasts'!H$118-SUM(H$383:H$384)</f>
        <v>-2.5989999999999966</v>
      </c>
      <c r="I385" s="15">
        <f>'Fiscal Forecasts'!I$118-SUM(I$383:I$384)</f>
        <v>-2.5649999999999977</v>
      </c>
      <c r="J385" s="15">
        <f>'Fiscal Forecasts'!J$118-SUM(J$383:J$384)</f>
        <v>-2.6490000000000009</v>
      </c>
      <c r="K385" s="15">
        <f>'Fiscal Forecasts'!K$118-SUM(K$383:K$384)</f>
        <v>-2.5789999999999935</v>
      </c>
      <c r="L385" s="6">
        <f ca="1">IF(L$6=OFFSET(Assumptions!$B$8,0,$C$1),AVERAGE(I$385/I$384,J$385/J$384,K$385/K$384),K$385/K$384)*L$384</f>
        <v>-2.845078364325591</v>
      </c>
      <c r="M385" s="6">
        <f ca="1">IF(M$6=OFFSET(Assumptions!$B$8,0,$C$1),AVERAGE(J$385/J$384,K$385/K$384,L$385/L$384),L$385/L$384)*M$384</f>
        <v>-2.9748023684785361</v>
      </c>
      <c r="N385" s="6">
        <f ca="1">IF(N$6=OFFSET(Assumptions!$B$8,0,$C$1),AVERAGE(K$385/K$384,L$385/L$384,M$385/M$384),M$385/M$384)*N$384</f>
        <v>-3.1073545326138436</v>
      </c>
      <c r="O385" s="6">
        <f ca="1">IF(O$6=OFFSET(Assumptions!$B$8,0,$C$1),AVERAGE(L$385/L$384,M$385/M$384,N$385/N$384),N$385/N$384)*O$384</f>
        <v>-3.2433008180892657</v>
      </c>
      <c r="P385" s="6">
        <f ca="1">IF(P$6=OFFSET(Assumptions!$B$8,0,$C$1),AVERAGE(M$385/M$384,N$385/N$384,O$385/O$384),O$385/O$384)*P$384</f>
        <v>-3.3838635694236481</v>
      </c>
      <c r="Q385" s="6">
        <f ca="1">IF(Q$6=OFFSET(Assumptions!$B$8,0,$C$1),AVERAGE(N$385/N$384,O$385/O$384,P$385/P$384),P$385/P$384)*Q$384</f>
        <v>-3.5292667074034507</v>
      </c>
      <c r="R385" s="6">
        <f ca="1">IF(R$6=OFFSET(Assumptions!$B$8,0,$C$1),AVERAGE(O$385/O$384,P$385/P$384,Q$385/Q$384),Q$385/Q$384)*R$384</f>
        <v>-3.6792600416462475</v>
      </c>
      <c r="S385" s="6">
        <f ca="1">IF(S$6=OFFSET(Assumptions!$B$8,0,$C$1),AVERAGE(P$385/P$384,Q$385/Q$384,R$385/R$384),R$385/R$384)*S$384</f>
        <v>-3.8342902948904336</v>
      </c>
      <c r="T385" s="6">
        <f ca="1">IF(T$6=OFFSET(Assumptions!$B$8,0,$C$1),AVERAGE(Q$385/Q$384,R$385/R$384,S$385/S$384),S$385/S$384)*T$384</f>
        <v>-3.9944985414217729</v>
      </c>
      <c r="U385" s="6">
        <f ca="1">IF(U$6=OFFSET(Assumptions!$B$8,0,$C$1),AVERAGE(R$385/R$384,S$385/S$384,T$385/T$384),T$385/T$384)*U$384</f>
        <v>-4.1603690813712353</v>
      </c>
    </row>
    <row r="386" spans="1:21" ht="15" x14ac:dyDescent="0.25">
      <c r="A386" s="2" t="s">
        <v>589</v>
      </c>
      <c r="D386" s="34">
        <f t="shared" ref="D386:U386" si="185">SUM(D$383:D$385)</f>
        <v>26.497</v>
      </c>
      <c r="E386" s="34">
        <f t="shared" si="185"/>
        <v>28.234000000000002</v>
      </c>
      <c r="F386" s="34">
        <f t="shared" si="185"/>
        <v>28.582999999999998</v>
      </c>
      <c r="G386" s="33">
        <f t="shared" si="185"/>
        <v>28.984999999999999</v>
      </c>
      <c r="H386" s="33">
        <f t="shared" si="185"/>
        <v>29.942</v>
      </c>
      <c r="I386" s="33">
        <f t="shared" si="185"/>
        <v>31.042000000000002</v>
      </c>
      <c r="J386" s="33">
        <f t="shared" si="185"/>
        <v>31.917000000000002</v>
      </c>
      <c r="K386" s="33">
        <f t="shared" si="185"/>
        <v>32.843000000000004</v>
      </c>
      <c r="L386" s="37">
        <f t="shared" ca="1" si="185"/>
        <v>33.649842740860677</v>
      </c>
      <c r="M386" s="37">
        <f t="shared" ca="1" si="185"/>
        <v>34.665374864438533</v>
      </c>
      <c r="N386" s="37">
        <f t="shared" ca="1" si="185"/>
        <v>35.732028585203651</v>
      </c>
      <c r="O386" s="37">
        <f t="shared" ca="1" si="185"/>
        <v>36.850167291583503</v>
      </c>
      <c r="P386" s="37">
        <f t="shared" ca="1" si="185"/>
        <v>38.030804781274369</v>
      </c>
      <c r="Q386" s="37">
        <f t="shared" ca="1" si="185"/>
        <v>39.270361081965319</v>
      </c>
      <c r="R386" s="37">
        <f t="shared" ca="1" si="185"/>
        <v>40.565589725075625</v>
      </c>
      <c r="S386" s="37">
        <f t="shared" ca="1" si="185"/>
        <v>41.918250773349293</v>
      </c>
      <c r="T386" s="37">
        <f t="shared" ca="1" si="185"/>
        <v>43.329909313308747</v>
      </c>
      <c r="U386" s="37">
        <f t="shared" ca="1" si="185"/>
        <v>44.798766053506554</v>
      </c>
    </row>
    <row r="387" spans="1:21" ht="15" x14ac:dyDescent="0.25">
      <c r="A387" s="2"/>
      <c r="D387" s="46"/>
      <c r="E387" s="46"/>
      <c r="F387" s="46"/>
      <c r="G387" s="47"/>
      <c r="H387" s="47"/>
      <c r="I387" s="47"/>
      <c r="J387" s="47"/>
      <c r="K387" s="47"/>
      <c r="L387" s="47"/>
      <c r="M387" s="47"/>
      <c r="N387" s="47"/>
      <c r="O387" s="47"/>
      <c r="P387" s="47"/>
      <c r="Q387" s="47"/>
      <c r="R387" s="47"/>
      <c r="S387" s="47"/>
      <c r="T387" s="47"/>
      <c r="U387" s="47"/>
    </row>
    <row r="388" spans="1:21" x14ac:dyDescent="0.2">
      <c r="A388" s="18" t="s">
        <v>500</v>
      </c>
    </row>
    <row r="389" spans="1:21" x14ac:dyDescent="0.2">
      <c r="A389" s="1" t="s">
        <v>898</v>
      </c>
      <c r="B389" s="4" t="str">
        <f t="shared" ref="B389:B394" si="186">$B$37</f>
        <v>From Fiscal</v>
      </c>
      <c r="D389" s="14">
        <f>'Fiscal Forecasts'!D$310</f>
        <v>1.518</v>
      </c>
      <c r="E389" s="14">
        <f>'Fiscal Forecasts'!E$310</f>
        <v>1.512</v>
      </c>
      <c r="F389" s="14">
        <f>'Fiscal Forecasts'!F$310</f>
        <v>1.4750000000000001</v>
      </c>
      <c r="G389" s="15">
        <f>'Fiscal Forecasts'!G$310</f>
        <v>1.3759999999999999</v>
      </c>
      <c r="H389" s="15">
        <f>'Fiscal Forecasts'!H$310</f>
        <v>1.3660000000000001</v>
      </c>
      <c r="I389" s="15">
        <f>'Fiscal Forecasts'!I$310</f>
        <v>1.401</v>
      </c>
      <c r="J389" s="15">
        <f>'Fiscal Forecasts'!J$310</f>
        <v>1.452</v>
      </c>
      <c r="K389" s="15">
        <f>'Fiscal Forecasts'!K$310</f>
        <v>1.49</v>
      </c>
      <c r="L389" s="6">
        <f>Exogenous!S$14</f>
        <v>1.5129999999999999</v>
      </c>
      <c r="M389" s="6">
        <f>Exogenous!T$14</f>
        <v>1.5489999999999999</v>
      </c>
      <c r="N389" s="6">
        <f>Exogenous!U$14</f>
        <v>1.5860000000000001</v>
      </c>
      <c r="O389" s="6">
        <f>Exogenous!V$14</f>
        <v>1.6259999999999999</v>
      </c>
      <c r="P389" s="6">
        <f>Exogenous!W$14</f>
        <v>1.67</v>
      </c>
      <c r="Q389" s="6">
        <f>Exogenous!X$14</f>
        <v>1.718</v>
      </c>
      <c r="R389" s="6">
        <f>Exogenous!Y$14</f>
        <v>1.764</v>
      </c>
      <c r="S389" s="6">
        <f>Exogenous!Z$14</f>
        <v>1.81</v>
      </c>
      <c r="T389" s="6">
        <f>Exogenous!AA$14</f>
        <v>1.853</v>
      </c>
      <c r="U389" s="6">
        <f>Exogenous!AB$14</f>
        <v>1.8939999999999999</v>
      </c>
    </row>
    <row r="390" spans="1:21" x14ac:dyDescent="0.2">
      <c r="A390" s="1" t="s">
        <v>900</v>
      </c>
      <c r="B390" s="4" t="str">
        <f t="shared" si="186"/>
        <v>From Fiscal</v>
      </c>
      <c r="D390" s="14">
        <f>'Fiscal Forecasts'!D$311</f>
        <v>1.0999999999999999E-2</v>
      </c>
      <c r="E390" s="14">
        <f>'Fiscal Forecasts'!E$311</f>
        <v>0.01</v>
      </c>
      <c r="F390" s="14">
        <f>'Fiscal Forecasts'!F$311</f>
        <v>0.01</v>
      </c>
      <c r="G390" s="15">
        <f>'Fiscal Forecasts'!G$311</f>
        <v>8.9999999999999993E-3</v>
      </c>
      <c r="H390" s="15">
        <f>'Fiscal Forecasts'!H$311</f>
        <v>8.9999999999999993E-3</v>
      </c>
      <c r="I390" s="15">
        <f>'Fiscal Forecasts'!I$311</f>
        <v>8.0000000000000002E-3</v>
      </c>
      <c r="J390" s="15">
        <f>'Fiscal Forecasts'!J$311</f>
        <v>0.01</v>
      </c>
      <c r="K390" s="15">
        <f>'Fiscal Forecasts'!K$311</f>
        <v>0.01</v>
      </c>
      <c r="L390" s="6">
        <f>Exogenous!S$15</f>
        <v>8.9999999999999993E-3</v>
      </c>
      <c r="M390" s="6">
        <f>Exogenous!T$15</f>
        <v>8.9999999999999993E-3</v>
      </c>
      <c r="N390" s="6">
        <f>Exogenous!U$15</f>
        <v>1.0999999999999999E-2</v>
      </c>
      <c r="O390" s="6">
        <f>Exogenous!V$15</f>
        <v>8.0000000000000002E-3</v>
      </c>
      <c r="P390" s="6">
        <f>Exogenous!W$15</f>
        <v>8.9999999999999993E-3</v>
      </c>
      <c r="Q390" s="6">
        <f>Exogenous!X$15</f>
        <v>0.01</v>
      </c>
      <c r="R390" s="6">
        <f>Exogenous!Y$15</f>
        <v>1.0999999999999999E-2</v>
      </c>
      <c r="S390" s="6">
        <f>Exogenous!Z$15</f>
        <v>8.0000000000000002E-3</v>
      </c>
      <c r="T390" s="6">
        <f>Exogenous!AA$15</f>
        <v>0.01</v>
      </c>
      <c r="U390" s="6">
        <f>Exogenous!AB$15</f>
        <v>0.01</v>
      </c>
    </row>
    <row r="391" spans="1:21" x14ac:dyDescent="0.2">
      <c r="A391" s="1" t="s">
        <v>351</v>
      </c>
      <c r="B391" s="4" t="str">
        <f t="shared" si="186"/>
        <v>From Fiscal</v>
      </c>
      <c r="D391" s="14">
        <f>-'Fiscal Forecasts'!D$312</f>
        <v>0.60199999999999998</v>
      </c>
      <c r="E391" s="14">
        <f>-'Fiscal Forecasts'!E$312</f>
        <v>0.65900000000000003</v>
      </c>
      <c r="F391" s="14">
        <f>-'Fiscal Forecasts'!F$312</f>
        <v>0.66200000000000003</v>
      </c>
      <c r="G391" s="15">
        <f>-'Fiscal Forecasts'!G$312</f>
        <v>0.61499999999999999</v>
      </c>
      <c r="H391" s="15">
        <f>-'Fiscal Forecasts'!H$312</f>
        <v>0.61</v>
      </c>
      <c r="I391" s="15">
        <f>-'Fiscal Forecasts'!I$312</f>
        <v>0.626</v>
      </c>
      <c r="J391" s="15">
        <f>-'Fiscal Forecasts'!J$312</f>
        <v>0.64900000000000002</v>
      </c>
      <c r="K391" s="15">
        <f>-'Fiscal Forecasts'!K$312</f>
        <v>0.66600000000000004</v>
      </c>
      <c r="L391" s="6">
        <f>Exogenous!S$16</f>
        <v>0.70199999999999996</v>
      </c>
      <c r="M391" s="6">
        <f>Exogenous!T$16</f>
        <v>0.72399999999999998</v>
      </c>
      <c r="N391" s="6">
        <f>Exogenous!U$16</f>
        <v>0.745</v>
      </c>
      <c r="O391" s="6">
        <f>Exogenous!V$16</f>
        <v>0.76600000000000001</v>
      </c>
      <c r="P391" s="6">
        <f>Exogenous!W$16</f>
        <v>0.78900000000000003</v>
      </c>
      <c r="Q391" s="6">
        <f>Exogenous!X$16</f>
        <v>0.81399999999999995</v>
      </c>
      <c r="R391" s="6">
        <f>Exogenous!Y$16</f>
        <v>0.83799999999999997</v>
      </c>
      <c r="S391" s="6">
        <f>Exogenous!Z$16</f>
        <v>0.86099999999999999</v>
      </c>
      <c r="T391" s="6">
        <f>Exogenous!AA$16</f>
        <v>0.88400000000000001</v>
      </c>
      <c r="U391" s="6">
        <f>Exogenous!AB$16</f>
        <v>0.90600000000000003</v>
      </c>
    </row>
    <row r="392" spans="1:21" x14ac:dyDescent="0.2">
      <c r="A392" s="1" t="s">
        <v>508</v>
      </c>
      <c r="B392" s="4" t="str">
        <f t="shared" si="186"/>
        <v>From Fiscal</v>
      </c>
      <c r="D392" s="14">
        <f>-'Fiscal Forecasts'!D$313</f>
        <v>1.1140000000000001</v>
      </c>
      <c r="E392" s="14">
        <f>-'Fiscal Forecasts'!E$313</f>
        <v>1.208</v>
      </c>
      <c r="F392" s="14">
        <f>-'Fiscal Forecasts'!F$313</f>
        <v>1.272</v>
      </c>
      <c r="G392" s="15">
        <f>-'Fiscal Forecasts'!G$313</f>
        <v>1.353</v>
      </c>
      <c r="H392" s="15">
        <f>-'Fiscal Forecasts'!H$313</f>
        <v>1.4490000000000001</v>
      </c>
      <c r="I392" s="15">
        <f>-'Fiscal Forecasts'!I$313</f>
        <v>1.5349999999999999</v>
      </c>
      <c r="J392" s="15">
        <f>-'Fiscal Forecasts'!J$313</f>
        <v>1.621</v>
      </c>
      <c r="K392" s="15">
        <f>-'Fiscal Forecasts'!K$313</f>
        <v>1.7110000000000001</v>
      </c>
      <c r="L392" s="6">
        <f>Exogenous!S$17</f>
        <v>1.5940000000000001</v>
      </c>
      <c r="M392" s="6">
        <f>Exogenous!T$17</f>
        <v>1.5960000000000001</v>
      </c>
      <c r="N392" s="6">
        <f>Exogenous!U$17</f>
        <v>1.601</v>
      </c>
      <c r="O392" s="6">
        <f>Exogenous!V$17</f>
        <v>1.607</v>
      </c>
      <c r="P392" s="6">
        <f>Exogenous!W$17</f>
        <v>1.615</v>
      </c>
      <c r="Q392" s="6">
        <f>Exogenous!X$17</f>
        <v>1.627</v>
      </c>
      <c r="R392" s="6">
        <f>Exogenous!Y$17</f>
        <v>1.6439999999999999</v>
      </c>
      <c r="S392" s="6">
        <f>Exogenous!Z$17</f>
        <v>1.6619999999999999</v>
      </c>
      <c r="T392" s="6">
        <f>Exogenous!AA$17</f>
        <v>1.6839999999999999</v>
      </c>
      <c r="U392" s="6">
        <f>Exogenous!AB$17</f>
        <v>1.708</v>
      </c>
    </row>
    <row r="393" spans="1:21" x14ac:dyDescent="0.2">
      <c r="A393" s="1" t="s">
        <v>89</v>
      </c>
      <c r="B393" s="4" t="str">
        <f t="shared" si="186"/>
        <v>From Fiscal</v>
      </c>
      <c r="D393" s="14">
        <f>'Fiscal Forecasts'!D$314</f>
        <v>0.60399999999999998</v>
      </c>
      <c r="E393" s="14">
        <f>'Fiscal Forecasts'!E$314</f>
        <v>0.60299999999999998</v>
      </c>
      <c r="F393" s="14">
        <f>'Fiscal Forecasts'!F$314</f>
        <v>0.60199999999999998</v>
      </c>
      <c r="G393" s="15">
        <f>'Fiscal Forecasts'!G$314</f>
        <v>0.59</v>
      </c>
      <c r="H393" s="15">
        <f>'Fiscal Forecasts'!H$314</f>
        <v>0.58399999999999996</v>
      </c>
      <c r="I393" s="15">
        <f>'Fiscal Forecasts'!I$314</f>
        <v>0.57399999999999995</v>
      </c>
      <c r="J393" s="15">
        <f>'Fiscal Forecasts'!J$314</f>
        <v>0.55800000000000005</v>
      </c>
      <c r="K393" s="15">
        <f>'Fiscal Forecasts'!K$314</f>
        <v>0.53700000000000003</v>
      </c>
      <c r="L393" s="6">
        <f>Exogenous!S$18</f>
        <v>0.52300000000000002</v>
      </c>
      <c r="M393" s="6">
        <f>Exogenous!T$18</f>
        <v>0.54300000000000004</v>
      </c>
      <c r="N393" s="6">
        <f>Exogenous!U$18</f>
        <v>0.55400000000000005</v>
      </c>
      <c r="O393" s="6">
        <f>Exogenous!V$18</f>
        <v>0.56399999999999995</v>
      </c>
      <c r="P393" s="6">
        <f>Exogenous!W$18</f>
        <v>0.57099999999999995</v>
      </c>
      <c r="Q393" s="6">
        <f>Exogenous!X$18</f>
        <v>0.57699999999999996</v>
      </c>
      <c r="R393" s="6">
        <f>Exogenous!Y$18</f>
        <v>0.58499999999999996</v>
      </c>
      <c r="S393" s="6">
        <f>Exogenous!Z$18</f>
        <v>0.59399999999999997</v>
      </c>
      <c r="T393" s="6">
        <f>Exogenous!AA$18</f>
        <v>0.60499999999999998</v>
      </c>
      <c r="U393" s="6">
        <f>Exogenous!AB$18</f>
        <v>0.61499999999999999</v>
      </c>
    </row>
    <row r="394" spans="1:21" x14ac:dyDescent="0.2">
      <c r="A394" s="1" t="s">
        <v>509</v>
      </c>
      <c r="B394" s="4" t="str">
        <f t="shared" si="186"/>
        <v>From Fiscal</v>
      </c>
      <c r="D394" s="14">
        <f>-'Fiscal Forecasts'!D$315</f>
        <v>0.26900000000000002</v>
      </c>
      <c r="E394" s="14">
        <f>-'Fiscal Forecasts'!E$315</f>
        <v>0.14000000000000001</v>
      </c>
      <c r="F394" s="14">
        <f>-'Fiscal Forecasts'!F$315</f>
        <v>-6.2E-2</v>
      </c>
      <c r="G394" s="15">
        <f>-'Fiscal Forecasts'!G$315</f>
        <v>-0.113</v>
      </c>
      <c r="H394" s="15">
        <f>-'Fiscal Forecasts'!H$315</f>
        <v>0</v>
      </c>
      <c r="I394" s="15">
        <f>-'Fiscal Forecasts'!I$315</f>
        <v>0</v>
      </c>
      <c r="J394" s="15">
        <f>-'Fiscal Forecasts'!J$315</f>
        <v>0</v>
      </c>
      <c r="K394" s="15">
        <f>-'Fiscal Forecasts'!K$315</f>
        <v>0</v>
      </c>
      <c r="L394" s="6">
        <f>Exogenous!S$19</f>
        <v>0</v>
      </c>
      <c r="M394" s="6">
        <f>Exogenous!T$19</f>
        <v>0</v>
      </c>
      <c r="N394" s="6">
        <f>Exogenous!U$19</f>
        <v>0</v>
      </c>
      <c r="O394" s="6">
        <f>Exogenous!V$19</f>
        <v>0</v>
      </c>
      <c r="P394" s="6">
        <f>Exogenous!W$19</f>
        <v>0</v>
      </c>
      <c r="Q394" s="6">
        <f>Exogenous!X$19</f>
        <v>0</v>
      </c>
      <c r="R394" s="6">
        <f>Exogenous!Y$19</f>
        <v>0</v>
      </c>
      <c r="S394" s="6">
        <f>Exogenous!Z$19</f>
        <v>0</v>
      </c>
      <c r="T394" s="6">
        <f>Exogenous!AA$19</f>
        <v>0</v>
      </c>
      <c r="U394" s="6">
        <f>Exogenous!AB$19</f>
        <v>0</v>
      </c>
    </row>
    <row r="395" spans="1:21" ht="15" x14ac:dyDescent="0.25">
      <c r="A395" s="2" t="s">
        <v>501</v>
      </c>
      <c r="C395" s="60">
        <f>'Fiscal Forecasts'!C$307</f>
        <v>8.7159999999999993</v>
      </c>
      <c r="D395" s="34">
        <f t="shared" ref="D395:I395" si="187">SUM(C$395,D$389,D$390,-D$391,-D$392,D$393,-D$394)</f>
        <v>8.8639999999999972</v>
      </c>
      <c r="E395" s="34">
        <f t="shared" si="187"/>
        <v>8.9819999999999958</v>
      </c>
      <c r="F395" s="34">
        <f t="shared" si="187"/>
        <v>9.1969999999999938</v>
      </c>
      <c r="G395" s="33">
        <f t="shared" si="187"/>
        <v>9.3169999999999931</v>
      </c>
      <c r="H395" s="33">
        <f t="shared" si="187"/>
        <v>9.2169999999999934</v>
      </c>
      <c r="I395" s="33">
        <f t="shared" si="187"/>
        <v>9.0389999999999926</v>
      </c>
      <c r="J395" s="33">
        <f>SUM(I$395,J$389,J$390,-J$391,-J$392,J$393,-J$394)</f>
        <v>8.7889999999999926</v>
      </c>
      <c r="K395" s="33">
        <f>SUM(J$395,K$389,K$390,-K$391,-K$392,K$393,-K$394)</f>
        <v>8.4489999999999927</v>
      </c>
      <c r="L395" s="37">
        <f t="shared" ref="L395:U395" si="188">SUM(K$395,L$389,L$390,-L$391,-L$392,L$393,-L$394)</f>
        <v>8.1979999999999933</v>
      </c>
      <c r="M395" s="37">
        <f t="shared" si="188"/>
        <v>7.978999999999993</v>
      </c>
      <c r="N395" s="37">
        <f t="shared" si="188"/>
        <v>7.7839999999999927</v>
      </c>
      <c r="O395" s="37">
        <f t="shared" si="188"/>
        <v>7.608999999999992</v>
      </c>
      <c r="P395" s="37">
        <f t="shared" si="188"/>
        <v>7.454999999999993</v>
      </c>
      <c r="Q395" s="37">
        <f t="shared" si="188"/>
        <v>7.3189999999999928</v>
      </c>
      <c r="R395" s="37">
        <f t="shared" si="188"/>
        <v>7.196999999999993</v>
      </c>
      <c r="S395" s="37">
        <f t="shared" si="188"/>
        <v>7.0859999999999914</v>
      </c>
      <c r="T395" s="37">
        <f t="shared" si="188"/>
        <v>6.98599999999999</v>
      </c>
      <c r="U395" s="37">
        <f t="shared" si="188"/>
        <v>6.8909999999999902</v>
      </c>
    </row>
    <row r="396" spans="1:21" ht="15" x14ac:dyDescent="0.25">
      <c r="A396" s="2"/>
      <c r="D396" s="46"/>
      <c r="E396" s="46"/>
      <c r="F396" s="46"/>
      <c r="G396" s="47"/>
      <c r="H396" s="47"/>
      <c r="I396" s="47"/>
      <c r="J396" s="47"/>
      <c r="K396" s="47"/>
      <c r="L396" s="48"/>
      <c r="M396" s="48"/>
      <c r="N396" s="48"/>
      <c r="O396" s="48"/>
      <c r="P396" s="48"/>
      <c r="Q396" s="48"/>
      <c r="R396" s="48"/>
      <c r="S396" s="48"/>
      <c r="T396" s="48"/>
      <c r="U396" s="48"/>
    </row>
    <row r="397" spans="1:21" x14ac:dyDescent="0.2">
      <c r="A397" s="18" t="s">
        <v>217</v>
      </c>
    </row>
    <row r="398" spans="1:21" ht="15" x14ac:dyDescent="0.25">
      <c r="A398" s="2" t="s">
        <v>592</v>
      </c>
      <c r="B398" s="4" t="str">
        <f>$B$37</f>
        <v>From Fiscal</v>
      </c>
      <c r="D398" s="39">
        <f>ROUND('Fiscal Forecasts'!D$175*D$399/SUM(D$399,D$403),3)</f>
        <v>0.45500000000000002</v>
      </c>
      <c r="E398" s="39">
        <f>ROUND('Fiscal Forecasts'!E$175*E$399/SUM(E$399,E$403),3)</f>
        <v>0.47799999999999998</v>
      </c>
      <c r="F398" s="39">
        <f>ROUND('Fiscal Forecasts'!F$175*F$399/SUM(F$399,F$403),3)</f>
        <v>0.504</v>
      </c>
      <c r="G398" s="38">
        <f>ROUND('Fiscal Forecasts'!G$175*G$399/SUM(G$399,G$403),3)</f>
        <v>0.502</v>
      </c>
      <c r="H398" s="38">
        <f>ROUND('Fiscal Forecasts'!H$175*H$399/SUM(H$399,H$403),3)</f>
        <v>0.49199999999999999</v>
      </c>
      <c r="I398" s="38">
        <f>ROUND('Fiscal Forecasts'!I$175*I$399/SUM(I$399,I$403),3)</f>
        <v>0.48399999999999999</v>
      </c>
      <c r="J398" s="38">
        <f>ROUND('Fiscal Forecasts'!J$175*J$399/SUM(J$399,J$403),3)</f>
        <v>0.49099999999999999</v>
      </c>
      <c r="K398" s="38">
        <f>ROUND('Fiscal Forecasts'!K$175*K$399/SUM(K$399,K$403),3)</f>
        <v>0.5</v>
      </c>
      <c r="L398" s="7">
        <f t="shared" ref="L398:U398" ca="1" si="189">K$398*(1+L$23)*(1+L$30)</f>
        <v>0.51480176366635944</v>
      </c>
      <c r="M398" s="7">
        <f t="shared" ca="1" si="189"/>
        <v>0.52994673187457064</v>
      </c>
      <c r="N398" s="7">
        <f t="shared" ca="1" si="189"/>
        <v>0.54544900359895965</v>
      </c>
      <c r="O398" s="7">
        <f t="shared" ca="1" si="189"/>
        <v>0.56129054140705814</v>
      </c>
      <c r="P398" s="7">
        <f t="shared" ca="1" si="189"/>
        <v>0.57744816855186087</v>
      </c>
      <c r="Q398" s="7">
        <f t="shared" ca="1" si="189"/>
        <v>0.59393061198482311</v>
      </c>
      <c r="R398" s="7">
        <f t="shared" ca="1" si="189"/>
        <v>0.61070761784347571</v>
      </c>
      <c r="S398" s="7">
        <f t="shared" ca="1" si="189"/>
        <v>0.62777138220317852</v>
      </c>
      <c r="T398" s="7">
        <f t="shared" ca="1" si="189"/>
        <v>0.64514010135167132</v>
      </c>
      <c r="U398" s="7">
        <f t="shared" ca="1" si="189"/>
        <v>0.66277354098528818</v>
      </c>
    </row>
    <row r="399" spans="1:21" ht="15" x14ac:dyDescent="0.25">
      <c r="A399" s="2" t="s">
        <v>593</v>
      </c>
      <c r="B399" s="4" t="str">
        <f>$B$37</f>
        <v>From Fiscal</v>
      </c>
      <c r="D399" s="39">
        <f>'Fiscal Forecasts'!D$119</f>
        <v>0.995</v>
      </c>
      <c r="E399" s="39">
        <f>'Fiscal Forecasts'!E$119</f>
        <v>1.1100000000000001</v>
      </c>
      <c r="F399" s="39">
        <f>'Fiscal Forecasts'!F$119</f>
        <v>1.167</v>
      </c>
      <c r="G399" s="38">
        <f>'Fiscal Forecasts'!G$119</f>
        <v>1.0589999999999999</v>
      </c>
      <c r="H399" s="38">
        <f>'Fiscal Forecasts'!H$119</f>
        <v>1.036</v>
      </c>
      <c r="I399" s="38">
        <f>'Fiscal Forecasts'!I$119</f>
        <v>1.0089999999999999</v>
      </c>
      <c r="J399" s="38">
        <f>'Fiscal Forecasts'!J$119</f>
        <v>1.036</v>
      </c>
      <c r="K399" s="38">
        <f>'Fiscal Forecasts'!K$119</f>
        <v>1.0580000000000001</v>
      </c>
      <c r="L399" s="7">
        <f t="shared" ref="L399:U399" ca="1" si="190">L$398+(K$399-K$398)*(1+L$23)*(1+L$30)</f>
        <v>1.0893205319180166</v>
      </c>
      <c r="M399" s="7">
        <f t="shared" ca="1" si="190"/>
        <v>1.1213672846465914</v>
      </c>
      <c r="N399" s="7">
        <f t="shared" ca="1" si="190"/>
        <v>1.1541700916153985</v>
      </c>
      <c r="O399" s="7">
        <f t="shared" ca="1" si="190"/>
        <v>1.1876907856173351</v>
      </c>
      <c r="P399" s="7">
        <f t="shared" ca="1" si="190"/>
        <v>1.2218803246557377</v>
      </c>
      <c r="Q399" s="7">
        <f t="shared" ca="1" si="190"/>
        <v>1.2567571749598856</v>
      </c>
      <c r="R399" s="7">
        <f t="shared" ca="1" si="190"/>
        <v>1.2922573193567946</v>
      </c>
      <c r="S399" s="7">
        <f t="shared" ca="1" si="190"/>
        <v>1.3283642447419257</v>
      </c>
      <c r="T399" s="7">
        <f t="shared" ca="1" si="190"/>
        <v>1.3651164544601366</v>
      </c>
      <c r="U399" s="7">
        <f t="shared" ca="1" si="190"/>
        <v>1.4024288127248701</v>
      </c>
    </row>
    <row r="400" spans="1:21" ht="15" x14ac:dyDescent="0.25">
      <c r="A400" s="2"/>
      <c r="B400" s="4"/>
      <c r="D400" s="39"/>
      <c r="E400" s="39"/>
      <c r="F400" s="39"/>
      <c r="G400" s="39"/>
      <c r="H400" s="39"/>
      <c r="I400" s="39"/>
      <c r="J400" s="39"/>
      <c r="K400" s="39"/>
      <c r="L400" s="39"/>
      <c r="M400" s="39"/>
      <c r="N400" s="39"/>
      <c r="O400" s="39"/>
      <c r="P400" s="39"/>
      <c r="Q400" s="39"/>
      <c r="R400" s="39"/>
      <c r="S400" s="39"/>
      <c r="T400" s="39"/>
      <c r="U400" s="39"/>
    </row>
    <row r="401" spans="1:21" x14ac:dyDescent="0.2">
      <c r="A401" s="18" t="s">
        <v>218</v>
      </c>
    </row>
    <row r="402" spans="1:21" ht="15" x14ac:dyDescent="0.25">
      <c r="A402" s="2" t="s">
        <v>594</v>
      </c>
      <c r="B402" s="4" t="str">
        <f>$B$37</f>
        <v>From Fiscal</v>
      </c>
      <c r="D402" s="39">
        <f>'Fiscal Forecasts'!D$175-D$398</f>
        <v>1.0919999999999999</v>
      </c>
      <c r="E402" s="39">
        <f>'Fiscal Forecasts'!E$175-E$398</f>
        <v>1.254</v>
      </c>
      <c r="F402" s="39">
        <f>'Fiscal Forecasts'!F$175-F$398</f>
        <v>1.331</v>
      </c>
      <c r="G402" s="38">
        <f>'Fiscal Forecasts'!G$175-G$398</f>
        <v>1.254</v>
      </c>
      <c r="H402" s="38">
        <f>'Fiscal Forecasts'!H$175-H$398</f>
        <v>1.252</v>
      </c>
      <c r="I402" s="38">
        <f>'Fiscal Forecasts'!I$175-I$398</f>
        <v>1.272</v>
      </c>
      <c r="J402" s="38">
        <f>'Fiscal Forecasts'!J$175-J$398</f>
        <v>1.2690000000000001</v>
      </c>
      <c r="K402" s="38">
        <f>'Fiscal Forecasts'!K$175-K$398</f>
        <v>1.306</v>
      </c>
      <c r="L402" s="7">
        <f t="shared" ref="L402:U402" ca="1" si="191">K$402*(1+L$23)*(1+L$30)</f>
        <v>1.3446622066965306</v>
      </c>
      <c r="M402" s="7">
        <f t="shared" ca="1" si="191"/>
        <v>1.3842208636563782</v>
      </c>
      <c r="N402" s="7">
        <f t="shared" ca="1" si="191"/>
        <v>1.4247127974004823</v>
      </c>
      <c r="O402" s="7">
        <f t="shared" ca="1" si="191"/>
        <v>1.4660908941552355</v>
      </c>
      <c r="P402" s="7">
        <f t="shared" ca="1" si="191"/>
        <v>1.5082946162574602</v>
      </c>
      <c r="Q402" s="7">
        <f t="shared" ca="1" si="191"/>
        <v>1.5513467585043574</v>
      </c>
      <c r="R402" s="7">
        <f t="shared" ca="1" si="191"/>
        <v>1.5951682978071582</v>
      </c>
      <c r="S402" s="7">
        <f t="shared" ca="1" si="191"/>
        <v>1.6397388503147019</v>
      </c>
      <c r="T402" s="7">
        <f t="shared" ca="1" si="191"/>
        <v>1.685105944730565</v>
      </c>
      <c r="U402" s="7">
        <f t="shared" ca="1" si="191"/>
        <v>1.7311644890535725</v>
      </c>
    </row>
    <row r="403" spans="1:21" ht="15" x14ac:dyDescent="0.25">
      <c r="A403" s="2" t="s">
        <v>595</v>
      </c>
      <c r="B403" s="4" t="str">
        <f>$B$37</f>
        <v>From Fiscal</v>
      </c>
      <c r="D403" s="39">
        <f>'Fiscal Forecasts'!D$120</f>
        <v>2.3889999999999998</v>
      </c>
      <c r="E403" s="39">
        <f>'Fiscal Forecasts'!E$120</f>
        <v>2.9140000000000001</v>
      </c>
      <c r="F403" s="39">
        <f>'Fiscal Forecasts'!F$120</f>
        <v>3.0790000000000002</v>
      </c>
      <c r="G403" s="38">
        <f>'Fiscal Forecasts'!G$120</f>
        <v>2.6480000000000001</v>
      </c>
      <c r="H403" s="38">
        <f>'Fiscal Forecasts'!H$120</f>
        <v>2.637</v>
      </c>
      <c r="I403" s="38">
        <f>'Fiscal Forecasts'!I$120</f>
        <v>2.6539999999999999</v>
      </c>
      <c r="J403" s="38">
        <f>'Fiscal Forecasts'!J$120</f>
        <v>2.681</v>
      </c>
      <c r="K403" s="38">
        <f>'Fiscal Forecasts'!K$120</f>
        <v>2.766</v>
      </c>
      <c r="L403" s="7">
        <f t="shared" ref="L403:U403" ca="1" si="192">L$402+(K$403-K$402)*(1+L$23)*(1+L$30)</f>
        <v>2.8478833566023001</v>
      </c>
      <c r="M403" s="7">
        <f t="shared" ca="1" si="192"/>
        <v>2.9316653207301244</v>
      </c>
      <c r="N403" s="7">
        <f t="shared" ca="1" si="192"/>
        <v>3.0174238879094446</v>
      </c>
      <c r="O403" s="7">
        <f t="shared" ca="1" si="192"/>
        <v>3.1050592750638453</v>
      </c>
      <c r="P403" s="7">
        <f t="shared" ca="1" si="192"/>
        <v>3.1944432684288939</v>
      </c>
      <c r="Q403" s="7">
        <f t="shared" ca="1" si="192"/>
        <v>3.2856241455000408</v>
      </c>
      <c r="R403" s="7">
        <f t="shared" ca="1" si="192"/>
        <v>3.3784345419101074</v>
      </c>
      <c r="S403" s="7">
        <f t="shared" ca="1" si="192"/>
        <v>3.4728312863479833</v>
      </c>
      <c r="T403" s="7">
        <f t="shared" ca="1" si="192"/>
        <v>3.568915040677445</v>
      </c>
      <c r="U403" s="7">
        <f t="shared" ca="1" si="192"/>
        <v>3.6664632287306143</v>
      </c>
    </row>
    <row r="404" spans="1:21" ht="15" x14ac:dyDescent="0.25">
      <c r="A404" s="2"/>
      <c r="B404" s="4"/>
      <c r="D404" s="6"/>
      <c r="E404" s="6"/>
      <c r="F404" s="6"/>
      <c r="G404" s="6"/>
      <c r="H404" s="6"/>
      <c r="I404" s="6"/>
      <c r="J404" s="6"/>
      <c r="K404" s="6"/>
      <c r="L404" s="6"/>
      <c r="M404" s="6"/>
      <c r="N404" s="6"/>
      <c r="O404" s="6"/>
      <c r="P404" s="6"/>
      <c r="Q404" s="6"/>
      <c r="R404" s="6"/>
      <c r="S404" s="6"/>
      <c r="T404" s="6"/>
      <c r="U404" s="6"/>
    </row>
    <row r="405" spans="1:21" x14ac:dyDescent="0.2">
      <c r="A405" s="18" t="s">
        <v>596</v>
      </c>
      <c r="B405" s="4"/>
      <c r="D405" s="6"/>
      <c r="E405" s="6"/>
      <c r="F405" s="6"/>
      <c r="G405" s="6"/>
      <c r="H405" s="6"/>
      <c r="I405" s="6"/>
      <c r="J405" s="6"/>
      <c r="K405" s="6"/>
      <c r="L405" s="6"/>
      <c r="M405" s="6"/>
      <c r="N405" s="6"/>
      <c r="O405" s="6"/>
      <c r="P405" s="6"/>
      <c r="Q405" s="6"/>
      <c r="R405" s="6"/>
      <c r="S405" s="6"/>
      <c r="T405" s="6"/>
      <c r="U405" s="6"/>
    </row>
    <row r="406" spans="1:21" ht="15" x14ac:dyDescent="0.25">
      <c r="A406" s="1" t="s">
        <v>600</v>
      </c>
      <c r="B406" s="4"/>
      <c r="C406" s="60">
        <f ca="1">OFFSET(Assumptions!$B$75,0,$C$1)*C$373</f>
        <v>0.25809000000000004</v>
      </c>
      <c r="D406" s="14">
        <f ca="1">OFFSET(Assumptions!$B$75,0,$C$1)*D$373</f>
        <v>0.29522000000000004</v>
      </c>
      <c r="E406" s="14">
        <f ca="1">OFFSET(Assumptions!$B$75,0,$C$1)*E$373</f>
        <v>0.29527000000000003</v>
      </c>
      <c r="F406" s="14">
        <f ca="1">OFFSET(Assumptions!$B$75,0,$C$1)*F$373</f>
        <v>0.34506000000000003</v>
      </c>
      <c r="G406" s="15">
        <f ca="1">OFFSET(Assumptions!$B$75,0,$C$1)*G$373</f>
        <v>0.38865000000000005</v>
      </c>
      <c r="H406" s="15">
        <f ca="1">OFFSET(Assumptions!$B$75,0,$C$1)*H$373</f>
        <v>0.42458000000000007</v>
      </c>
      <c r="I406" s="15">
        <f ca="1">OFFSET(Assumptions!$B$75,0,$C$1)*I$373</f>
        <v>0.46800000000000003</v>
      </c>
      <c r="J406" s="15">
        <f ca="1">OFFSET(Assumptions!$B$75,0,$C$1)*J$373</f>
        <v>0.52146000000000003</v>
      </c>
      <c r="K406" s="15">
        <f ca="1">OFFSET(Assumptions!$B$75,0,$C$1)*K$373</f>
        <v>0.58167000000000002</v>
      </c>
      <c r="L406" s="6">
        <f ca="1">OFFSET(Assumptions!$B$75,0,$C$1)/SUM(OFFSET(Assumptions!$B$71,0,$C$1,6,1))*SUM(L$373,L$69,-L$341,L$448)</f>
        <v>0.6452205148388156</v>
      </c>
      <c r="M406" s="6">
        <f ca="1">OFFSET(Assumptions!$B$75,0,$C$1)/SUM(OFFSET(Assumptions!$B$71,0,$C$1,6,1))*SUM(M$373,M$69,-M$341,M$448)</f>
        <v>0.70642763950153509</v>
      </c>
      <c r="N406" s="6">
        <f ca="1">OFFSET(Assumptions!$B$75,0,$C$1)/SUM(OFFSET(Assumptions!$B$71,0,$C$1,6,1))*SUM(N$373,N$69,-N$341,N$448)</f>
        <v>0.77008605409765707</v>
      </c>
      <c r="O406" s="6">
        <f ca="1">OFFSET(Assumptions!$B$75,0,$C$1)/SUM(OFFSET(Assumptions!$B$71,0,$C$1,6,1))*SUM(O$373,O$69,-O$341,O$448)</f>
        <v>0.83613557706557018</v>
      </c>
      <c r="P406" s="6">
        <f ca="1">OFFSET(Assumptions!$B$75,0,$C$1)/SUM(OFFSET(Assumptions!$B$71,0,$C$1,6,1))*SUM(P$373,P$69,-P$341,P$448)</f>
        <v>0.90455769065506608</v>
      </c>
      <c r="Q406" s="6">
        <f ca="1">OFFSET(Assumptions!$B$75,0,$C$1)/SUM(OFFSET(Assumptions!$B$71,0,$C$1,6,1))*SUM(Q$373,Q$69,-Q$341,Q$448)</f>
        <v>0.97428980837672519</v>
      </c>
      <c r="R406" s="6">
        <f ca="1">OFFSET(Assumptions!$B$75,0,$C$1)/SUM(OFFSET(Assumptions!$B$71,0,$C$1,6,1))*SUM(R$373,R$69,-R$341,R$448)</f>
        <v>1.0453471525738174</v>
      </c>
      <c r="S406" s="6">
        <f ca="1">OFFSET(Assumptions!$B$75,0,$C$1)/SUM(OFFSET(Assumptions!$B$71,0,$C$1,6,1))*SUM(S$373,S$69,-S$341,S$448)</f>
        <v>1.1182109289122377</v>
      </c>
      <c r="T406" s="6">
        <f ca="1">OFFSET(Assumptions!$B$75,0,$C$1)/SUM(OFFSET(Assumptions!$B$71,0,$C$1,6,1))*SUM(T$373,T$69,-T$341,T$448)</f>
        <v>1.1930640347044543</v>
      </c>
      <c r="U406" s="6">
        <f ca="1">OFFSET(Assumptions!$B$75,0,$C$1)/SUM(OFFSET(Assumptions!$B$71,0,$C$1,6,1))*SUM(U$373,U$69,-U$341,U$448)</f>
        <v>1.2699482732305192</v>
      </c>
    </row>
    <row r="407" spans="1:21" x14ac:dyDescent="0.2">
      <c r="A407" s="1" t="s">
        <v>601</v>
      </c>
      <c r="B407" s="4" t="str">
        <f>$B$37</f>
        <v>From Fiscal</v>
      </c>
      <c r="D407" s="14">
        <f ca="1">'Fiscal Forecasts'!D$172-D$406</f>
        <v>31.993780000000001</v>
      </c>
      <c r="E407" s="14">
        <f ca="1">'Fiscal Forecasts'!E$172-E$406</f>
        <v>35.401730000000001</v>
      </c>
      <c r="F407" s="14">
        <f ca="1">'Fiscal Forecasts'!F$172-F$406</f>
        <v>38.87594</v>
      </c>
      <c r="G407" s="15">
        <f ca="1">'Fiscal Forecasts'!G$172-G$406</f>
        <v>40.297350000000002</v>
      </c>
      <c r="H407" s="15">
        <f ca="1">'Fiscal Forecasts'!H$172-H$406</f>
        <v>41.264420000000001</v>
      </c>
      <c r="I407" s="15">
        <f ca="1">'Fiscal Forecasts'!I$172-I$406</f>
        <v>42.315999999999995</v>
      </c>
      <c r="J407" s="15">
        <f ca="1">'Fiscal Forecasts'!J$172-J$406</f>
        <v>43.544540000000005</v>
      </c>
      <c r="K407" s="15">
        <f ca="1">'Fiscal Forecasts'!K$172-K$406</f>
        <v>43.535329999999995</v>
      </c>
      <c r="L407" s="6">
        <f t="shared" ref="L407:U407" ca="1" si="193">SUM(K$407,-(L$406-K$406),L$412,-L$413,-L$414)</f>
        <v>43.535329999999988</v>
      </c>
      <c r="M407" s="6">
        <f t="shared" ca="1" si="193"/>
        <v>43.535329999999981</v>
      </c>
      <c r="N407" s="6">
        <f t="shared" ca="1" si="193"/>
        <v>43.535329999999981</v>
      </c>
      <c r="O407" s="6">
        <f t="shared" ca="1" si="193"/>
        <v>43.535329999999973</v>
      </c>
      <c r="P407" s="6">
        <f t="shared" ca="1" si="193"/>
        <v>43.535329999999973</v>
      </c>
      <c r="Q407" s="6">
        <f t="shared" ca="1" si="193"/>
        <v>43.535329999999973</v>
      </c>
      <c r="R407" s="6">
        <f t="shared" ca="1" si="193"/>
        <v>43.535329999999973</v>
      </c>
      <c r="S407" s="6">
        <f t="shared" ca="1" si="193"/>
        <v>43.535329999999973</v>
      </c>
      <c r="T407" s="6">
        <f t="shared" ca="1" si="193"/>
        <v>43.535329999999973</v>
      </c>
      <c r="U407" s="6">
        <f t="shared" ca="1" si="193"/>
        <v>43.535329999999973</v>
      </c>
    </row>
    <row r="408" spans="1:21" ht="15" x14ac:dyDescent="0.25">
      <c r="A408" s="2" t="s">
        <v>599</v>
      </c>
      <c r="B408" s="4"/>
      <c r="C408" s="60">
        <f>'Fiscal Forecasts'!C$172</f>
        <v>30.963000000000001</v>
      </c>
      <c r="D408" s="34">
        <f t="shared" ref="D408:U408" ca="1" si="194">SUM(D$406:D$407)</f>
        <v>32.289000000000001</v>
      </c>
      <c r="E408" s="34">
        <f t="shared" ca="1" si="194"/>
        <v>35.697000000000003</v>
      </c>
      <c r="F408" s="34">
        <f t="shared" ca="1" si="194"/>
        <v>39.220999999999997</v>
      </c>
      <c r="G408" s="33">
        <f t="shared" ca="1" si="194"/>
        <v>40.686</v>
      </c>
      <c r="H408" s="33">
        <f t="shared" ca="1" si="194"/>
        <v>41.689</v>
      </c>
      <c r="I408" s="33">
        <f t="shared" ca="1" si="194"/>
        <v>42.783999999999999</v>
      </c>
      <c r="J408" s="33">
        <f t="shared" ca="1" si="194"/>
        <v>44.066000000000003</v>
      </c>
      <c r="K408" s="33">
        <f t="shared" ca="1" si="194"/>
        <v>44.116999999999997</v>
      </c>
      <c r="L408" s="37">
        <f t="shared" ca="1" si="194"/>
        <v>44.180550514838806</v>
      </c>
      <c r="M408" s="37">
        <f t="shared" ca="1" si="194"/>
        <v>44.241757639501515</v>
      </c>
      <c r="N408" s="37">
        <f t="shared" ca="1" si="194"/>
        <v>44.305416054097634</v>
      </c>
      <c r="O408" s="37">
        <f t="shared" ca="1" si="194"/>
        <v>44.371465577065543</v>
      </c>
      <c r="P408" s="37">
        <f t="shared" ca="1" si="194"/>
        <v>44.439887690655041</v>
      </c>
      <c r="Q408" s="37">
        <f t="shared" ca="1" si="194"/>
        <v>44.509619808376698</v>
      </c>
      <c r="R408" s="37">
        <f t="shared" ca="1" si="194"/>
        <v>44.580677152573791</v>
      </c>
      <c r="S408" s="37">
        <f t="shared" ca="1" si="194"/>
        <v>44.653540928912214</v>
      </c>
      <c r="T408" s="37">
        <f t="shared" ca="1" si="194"/>
        <v>44.728394034704429</v>
      </c>
      <c r="U408" s="37">
        <f t="shared" ca="1" si="194"/>
        <v>44.805278273230492</v>
      </c>
    </row>
    <row r="409" spans="1:21" x14ac:dyDescent="0.2">
      <c r="A409" s="1" t="s">
        <v>272</v>
      </c>
      <c r="B409" s="4" t="str">
        <f>$B$37</f>
        <v>From Fiscal</v>
      </c>
      <c r="D409" s="14">
        <f>'Fiscal Forecasts'!D$318</f>
        <v>61.417000000000002</v>
      </c>
      <c r="E409" s="14">
        <f>'Fiscal Forecasts'!E$318</f>
        <v>66.769000000000005</v>
      </c>
      <c r="F409" s="14">
        <f>'Fiscal Forecasts'!F$318</f>
        <v>72.599000000000004</v>
      </c>
      <c r="G409" s="15">
        <f>'Fiscal Forecasts'!G$318</f>
        <v>76.078000000000003</v>
      </c>
      <c r="H409" s="15">
        <f>'Fiscal Forecasts'!H$318</f>
        <v>80.823999999999998</v>
      </c>
      <c r="I409" s="15">
        <f>'Fiscal Forecasts'!I$318</f>
        <v>83.265000000000001</v>
      </c>
      <c r="J409" s="15">
        <f>'Fiscal Forecasts'!J$318</f>
        <v>85.245999999999995</v>
      </c>
      <c r="K409" s="15">
        <f>'Fiscal Forecasts'!K$318</f>
        <v>86.668999999999997</v>
      </c>
      <c r="L409" s="6">
        <f ca="1">IF(L$6=OFFSET(Assumptions!$B$8,0,$C$1),AVERAGE(I$409/SUM(I$409,I$410),J$409/SUM(J$409,J$410),K$409/SUM(K$409,K$410)),K$409/SUM(K$409,K$410))*SUM(K$409,K$410,L$415-L$412,-(L$416-L$413),-(L$417-L$414))</f>
        <v>87.118012144262764</v>
      </c>
      <c r="M409" s="6">
        <f ca="1">IF(M$6=OFFSET(Assumptions!$B$8,0,$C$1),AVERAGE(J$409/SUM(J$409,J$410),K$409/SUM(K$409,K$410),L$409/SUM(L$409,L$410)),L$409/SUM(L$409,L$410))*SUM(L$409,L$410,M$415-M$412,-(M$416-M$413),-(M$417-M$414))</f>
        <v>88.190175310799674</v>
      </c>
      <c r="N409" s="6">
        <f ca="1">IF(N$6=OFFSET(Assumptions!$B$8,0,$C$1),AVERAGE(K$409/SUM(K$409,K$410),L$409/SUM(L$409,L$410),M$409/SUM(M$409,M$410)),M$409/SUM(M$409,M$410))*SUM(M$409,M$410,N$415-N$412,-(N$416-N$413),-(N$417-N$414))</f>
        <v>89.310112255365169</v>
      </c>
      <c r="O409" s="6">
        <f ca="1">IF(O$6=OFFSET(Assumptions!$B$8,0,$C$1),AVERAGE(L$409/SUM(L$409,L$410),M$409/SUM(M$409,M$410),N$409/SUM(N$409,N$410)),N$409/SUM(N$409,N$410))*SUM(N$409,N$410,O$415-O$412,-(O$416-O$413),-(O$417-O$414))</f>
        <v>90.479046269940667</v>
      </c>
      <c r="P409" s="6">
        <f ca="1">IF(P$6=OFFSET(Assumptions!$B$8,0,$C$1),AVERAGE(M$409/SUM(M$409,M$410),N$409/SUM(N$409,N$410),O$409/SUM(O$409,O$410)),O$409/SUM(O$409,O$410))*SUM(O$409,O$410,P$415-P$412,-(P$416-P$413),-(P$417-P$414))</f>
        <v>91.698641197713201</v>
      </c>
      <c r="Q409" s="6">
        <f ca="1">IF(Q$6=OFFSET(Assumptions!$B$8,0,$C$1),AVERAGE(N$409/SUM(N$409,N$410),O$409/SUM(O$409,O$410),P$409/SUM(P$409,P$410)),P$409/SUM(P$409,P$410))*SUM(P$409,P$410,Q$415-Q$412,-(Q$416-Q$413),-(Q$417-Q$414))</f>
        <v>92.970641586262815</v>
      </c>
      <c r="R409" s="6">
        <f ca="1">IF(R$6=OFFSET(Assumptions!$B$8,0,$C$1),AVERAGE(O$409/SUM(O$409,O$410),P$409/SUM(P$409,P$410),Q$409/SUM(Q$409,Q$410)),Q$409/SUM(Q$409,Q$410))*SUM(Q$409,Q$410,R$415-R$412,-(R$416-R$413),-(R$417-R$414))</f>
        <v>94.2967018108221</v>
      </c>
      <c r="S409" s="6">
        <f ca="1">IF(S$6=OFFSET(Assumptions!$B$8,0,$C$1),AVERAGE(P$409/SUM(P$409,P$410),Q$409/SUM(Q$409,Q$410),R$409/SUM(R$409,R$410)),R$409/SUM(R$409,R$410))*SUM(R$409,R$410,S$415-S$412,-(S$416-S$413),-(S$417-S$414))</f>
        <v>95.678637252165046</v>
      </c>
      <c r="T409" s="6">
        <f ca="1">IF(T$6=OFFSET(Assumptions!$B$8,0,$C$1),AVERAGE(Q$409/SUM(Q$409,Q$410),R$409/SUM(R$409,R$410),S$409/SUM(S$409,S$410)),S$409/SUM(S$409,S$410))*SUM(S$409,S$410,T$415-T$412,-(T$416-T$413),-(T$417-T$414))</f>
        <v>97.118314136343471</v>
      </c>
      <c r="U409" s="6">
        <f ca="1">IF(U$6=OFFSET(Assumptions!$B$8,0,$C$1),AVERAGE(R$409/SUM(R$409,R$410),S$409/SUM(S$409,S$410),T$409/SUM(T$409,T$410)),T$409/SUM(T$409,T$410))*SUM(T$409,T$410,U$415-U$412,-(U$416-U$413),-(U$417-U$414))</f>
        <v>98.617773238403601</v>
      </c>
    </row>
    <row r="410" spans="1:21" x14ac:dyDescent="0.2">
      <c r="A410" s="1" t="s">
        <v>483</v>
      </c>
      <c r="B410" s="4" t="str">
        <f>$B$37</f>
        <v>From Fiscal</v>
      </c>
      <c r="D410" s="14">
        <f>SUM('Fiscal Forecasts'!D$319:D$320)</f>
        <v>30.852</v>
      </c>
      <c r="E410" s="14">
        <f>SUM('Fiscal Forecasts'!E$319:E$320)</f>
        <v>32.033000000000001</v>
      </c>
      <c r="F410" s="14">
        <f>SUM('Fiscal Forecasts'!F$319:F$320)</f>
        <v>32.729999999999997</v>
      </c>
      <c r="G410" s="15">
        <f>SUM('Fiscal Forecasts'!G$319:G$320)</f>
        <v>33.058999999999997</v>
      </c>
      <c r="H410" s="15">
        <f>SUM('Fiscal Forecasts'!H$319:H$320)</f>
        <v>33.353999999999999</v>
      </c>
      <c r="I410" s="15">
        <f>SUM('Fiscal Forecasts'!I$319:I$320)</f>
        <v>33.375999999999998</v>
      </c>
      <c r="J410" s="15">
        <f>SUM('Fiscal Forecasts'!J$319:J$320)</f>
        <v>33.131</v>
      </c>
      <c r="K410" s="15">
        <f>SUM('Fiscal Forecasts'!K$319:K$320)</f>
        <v>33.159999999999997</v>
      </c>
      <c r="L410" s="6">
        <f ca="1">IF(L$6=OFFSET(Assumptions!$B$8,0,$C$1),AVERAGE(I$410/SUM(I$409,I$410),J$410/SUM(J$409,J$410),K$410/SUM(K$409,K$410)),K$410/SUM(K$409,K$410))*SUM(K$409,K$410,L$415-L$412,-(L$416-L$413),-(L$417-L$414))</f>
        <v>34.033337342248679</v>
      </c>
      <c r="M410" s="6">
        <f ca="1">IF(M$6=OFFSET(Assumptions!$B$8,0,$C$1),AVERAGE(J$410/SUM(J$409,J$410),K$410/SUM(K$409,K$410),L$410/SUM(L$409,L$410)),L$410/SUM(L$409,L$410))*SUM(L$409,L$410,M$415-M$412,-(M$416-M$413),-(M$417-M$414))</f>
        <v>34.452186324618246</v>
      </c>
      <c r="N410" s="6">
        <f ca="1">IF(N$6=OFFSET(Assumptions!$B$8,0,$C$1),AVERAGE(K$410/SUM(K$409,K$410),L$410/SUM(L$409,L$410),M$410/SUM(M$409,M$410)),M$410/SUM(M$409,M$410))*SUM(M$409,M$410,N$415-N$412,-(N$416-N$413),-(N$417-N$414))</f>
        <v>34.889698509507504</v>
      </c>
      <c r="O410" s="6">
        <f ca="1">IF(O$6=OFFSET(Assumptions!$B$8,0,$C$1),AVERAGE(L$410/SUM(L$409,L$410),M$410/SUM(M$409,M$410),N$410/SUM(N$409,N$410)),N$410/SUM(N$409,N$410))*SUM(N$409,N$410,O$415-O$412,-(O$416-O$413),-(O$417-O$414))</f>
        <v>35.346351785560209</v>
      </c>
      <c r="P410" s="6">
        <f ca="1">IF(P$6=OFFSET(Assumptions!$B$8,0,$C$1),AVERAGE(M$410/SUM(M$409,M$410),N$410/SUM(N$409,N$410),O$410/SUM(O$409,O$410)),O$410/SUM(O$409,O$410))*SUM(O$409,O$410,P$415-P$412,-(P$416-P$413),-(P$417-P$414))</f>
        <v>35.822796146217165</v>
      </c>
      <c r="Q410" s="6">
        <f ca="1">IF(Q$6=OFFSET(Assumptions!$B$8,0,$C$1),AVERAGE(N$410/SUM(N$409,N$410),O$410/SUM(O$409,O$410),P$410/SUM(P$409,P$410)),P$410/SUM(P$409,P$410))*SUM(P$409,P$410,Q$415-Q$412,-(Q$416-Q$413),-(Q$417-Q$414))</f>
        <v>36.319713112725694</v>
      </c>
      <c r="R410" s="6">
        <f ca="1">IF(R$6=OFFSET(Assumptions!$B$8,0,$C$1),AVERAGE(O$410/SUM(O$409,O$410),P$410/SUM(P$409,P$410),Q$410/SUM(Q$409,Q$410)),Q$410/SUM(Q$409,Q$410))*SUM(Q$409,Q$410,R$415-R$412,-(R$416-R$413),-(R$417-R$414))</f>
        <v>36.837748979795649</v>
      </c>
      <c r="S410" s="6">
        <f ca="1">IF(S$6=OFFSET(Assumptions!$B$8,0,$C$1),AVERAGE(P$410/SUM(P$409,P$410),Q$410/SUM(Q$409,Q$410),R$410/SUM(R$409,R$410)),R$410/SUM(R$409,R$410))*SUM(R$409,R$410,S$415-S$412,-(S$416-S$413),-(S$417-S$414))</f>
        <v>37.377612940219258</v>
      </c>
      <c r="T410" s="6">
        <f ca="1">IF(T$6=OFFSET(Assumptions!$B$8,0,$C$1),AVERAGE(Q$410/SUM(Q$409,Q$410),R$410/SUM(R$409,R$410),S$410/SUM(S$409,S$410)),S$410/SUM(S$409,S$410))*SUM(S$409,S$410,T$415-T$412,-(T$416-T$413),-(T$417-T$414))</f>
        <v>37.940034049896845</v>
      </c>
      <c r="U410" s="6">
        <f ca="1">IF(U$6=OFFSET(Assumptions!$B$8,0,$C$1),AVERAGE(R$410/SUM(R$409,R$410),S$410/SUM(S$409,S$410),T$410/SUM(T$409,T$410)),T$410/SUM(T$409,T$410))*SUM(T$409,T$410,U$415-U$412,-(U$416-U$413),-(U$417-U$414))</f>
        <v>38.525809553667663</v>
      </c>
    </row>
    <row r="411" spans="1:21" ht="15" x14ac:dyDescent="0.25">
      <c r="A411" s="2" t="s">
        <v>597</v>
      </c>
      <c r="B411" s="4"/>
      <c r="D411" s="34">
        <f t="shared" ref="D411:U411" ca="1" si="195">SUM(D$408:D$410)</f>
        <v>124.55800000000001</v>
      </c>
      <c r="E411" s="34">
        <f t="shared" ca="1" si="195"/>
        <v>134.49900000000002</v>
      </c>
      <c r="F411" s="34">
        <f t="shared" ca="1" si="195"/>
        <v>144.54999999999998</v>
      </c>
      <c r="G411" s="33">
        <f t="shared" ca="1" si="195"/>
        <v>149.82300000000001</v>
      </c>
      <c r="H411" s="33">
        <f t="shared" ca="1" si="195"/>
        <v>155.86700000000002</v>
      </c>
      <c r="I411" s="33">
        <f t="shared" ca="1" si="195"/>
        <v>159.42500000000001</v>
      </c>
      <c r="J411" s="33">
        <f t="shared" ca="1" si="195"/>
        <v>162.44300000000001</v>
      </c>
      <c r="K411" s="33">
        <f t="shared" ca="1" si="195"/>
        <v>163.946</v>
      </c>
      <c r="L411" s="37">
        <f t="shared" ca="1" si="195"/>
        <v>165.33190000135025</v>
      </c>
      <c r="M411" s="37">
        <f t="shared" ca="1" si="195"/>
        <v>166.88411927491944</v>
      </c>
      <c r="N411" s="37">
        <f t="shared" ca="1" si="195"/>
        <v>168.5052268189703</v>
      </c>
      <c r="O411" s="37">
        <f t="shared" ca="1" si="195"/>
        <v>170.19686363256642</v>
      </c>
      <c r="P411" s="37">
        <f t="shared" ca="1" si="195"/>
        <v>171.9613250345854</v>
      </c>
      <c r="Q411" s="37">
        <f t="shared" ca="1" si="195"/>
        <v>173.79997450736522</v>
      </c>
      <c r="R411" s="37">
        <f t="shared" ca="1" si="195"/>
        <v>175.71512794319153</v>
      </c>
      <c r="S411" s="37">
        <f t="shared" ca="1" si="195"/>
        <v>177.70979112129652</v>
      </c>
      <c r="T411" s="37">
        <f t="shared" ca="1" si="195"/>
        <v>179.78674222094475</v>
      </c>
      <c r="U411" s="37">
        <f t="shared" ca="1" si="195"/>
        <v>181.94886106530177</v>
      </c>
    </row>
    <row r="412" spans="1:21" x14ac:dyDescent="0.2">
      <c r="A412" s="1" t="s">
        <v>1229</v>
      </c>
      <c r="B412" s="4"/>
      <c r="D412" s="14">
        <f t="shared" ref="D412:K412" ca="1" si="196">SUM(D$408-C$408,D$413,D$414)</f>
        <v>1.8321429676689998</v>
      </c>
      <c r="E412" s="14">
        <f t="shared" ca="1" si="196"/>
        <v>3.994378276818388</v>
      </c>
      <c r="F412" s="14">
        <f t="shared" ca="1" si="196"/>
        <v>3.994628761677645</v>
      </c>
      <c r="G412" s="15">
        <f t="shared" ca="1" si="196"/>
        <v>2.6342664738729784</v>
      </c>
      <c r="H412" s="15">
        <f t="shared" ca="1" si="196"/>
        <v>2.4862860283569956</v>
      </c>
      <c r="I412" s="15">
        <f t="shared" ca="1" si="196"/>
        <v>2.6216725529545712</v>
      </c>
      <c r="J412" s="15">
        <f t="shared" ca="1" si="196"/>
        <v>2.8292331476096422</v>
      </c>
      <c r="K412" s="15">
        <f t="shared" ca="1" si="196"/>
        <v>1.6326198820146305</v>
      </c>
      <c r="L412" s="6">
        <f ca="1">SUM(L$406-K$406,L$414)/(1-IF(L$6=OFFSET(Assumptions!$B$8,0,$C$1),AVERAGE(I$413/I$412,J$413/J$412,K$413/K$412),K$413/K$412))</f>
        <v>1.8319789883056012</v>
      </c>
      <c r="M412" s="6">
        <f ca="1">SUM(M$406-L$406,M$414)/(1-IF(M$6=OFFSET(Assumptions!$B$8,0,$C$1),AVERAGE(J$413/J$412,K$413/K$412,L$413/L$412),L$413/L$412))</f>
        <v>1.9683863854985273</v>
      </c>
      <c r="N412" s="6">
        <f ca="1">SUM(N$406-M$406,N$414)/(1-IF(N$6=OFFSET(Assumptions!$B$8,0,$C$1),AVERAGE(K$413/K$412,L$413/L$412,M$413/M$412),M$413/M$412))</f>
        <v>2.1690293557543683</v>
      </c>
      <c r="O412" s="6">
        <f ca="1">SUM(O$406-N$406,O$414)/(1-IF(O$6=OFFSET(Assumptions!$B$8,0,$C$1),AVERAGE(L$413/L$412,M$413/M$412,N$413/N$412),N$413/N$412))</f>
        <v>2.4270174105974665</v>
      </c>
      <c r="P412" s="6">
        <f ca="1">SUM(P$406-O$406,P$414)/(1-IF(P$6=OFFSET(Assumptions!$B$8,0,$C$1),AVERAGE(M$413/M$412,N$413/N$412,O$413/O$412),O$413/O$412))</f>
        <v>2.7391863233690112</v>
      </c>
      <c r="Q412" s="6">
        <f ca="1">SUM(Q$406-P$406,Q$414)/(1-IF(Q$6=OFFSET(Assumptions!$B$8,0,$C$1),AVERAGE(N$413/N$412,O$413/O$412,P$413/P$412),P$413/P$412))</f>
        <v>3.1046908864754128</v>
      </c>
      <c r="R412" s="6">
        <f ca="1">SUM(R$406-Q$406,R$414)/(1-IF(R$6=OFFSET(Assumptions!$B$8,0,$C$1),AVERAGE(O$413/O$412,P$413/P$412,Q$413/Q$412),Q$413/Q$412))</f>
        <v>3.4866001071659811</v>
      </c>
      <c r="S412" s="6">
        <f ca="1">SUM(S$406-R$406,S$414)/(1-IF(S$6=OFFSET(Assumptions!$B$8,0,$C$1),AVERAGE(P$413/P$412,Q$413/Q$412,R$413/R$412),R$413/R$412))</f>
        <v>3.8861102566930028</v>
      </c>
      <c r="T412" s="6">
        <f ca="1">SUM(T$406-S$406,T$414)/(1-IF(T$6=OFFSET(Assumptions!$B$8,0,$C$1),AVERAGE(Q$413/Q$412,R$413/R$412,S$413/S$412),S$413/S$412))</f>
        <v>4.3036983905357786</v>
      </c>
      <c r="U412" s="6">
        <f ca="1">SUM(U$406-T$406,U$414)/(1-IF(U$6=OFFSET(Assumptions!$B$8,0,$C$1),AVERAGE(R$413/R$412,S$413/S$412,T$413/T$412),T$413/T$412))</f>
        <v>4.7400310159783583</v>
      </c>
    </row>
    <row r="413" spans="1:21" x14ac:dyDescent="0.2">
      <c r="A413" s="1" t="s">
        <v>693</v>
      </c>
      <c r="B413" s="4"/>
      <c r="D413" s="14">
        <f t="shared" ref="D413:K413" ca="1" si="197">D$407/(D$411-D$406)*D$416</f>
        <v>-0.74485703233100053</v>
      </c>
      <c r="E413" s="14">
        <f t="shared" ca="1" si="197"/>
        <v>-0.71962172318161344</v>
      </c>
      <c r="F413" s="14">
        <f t="shared" ca="1" si="197"/>
        <v>-0.88937123832234866</v>
      </c>
      <c r="G413" s="15">
        <f t="shared" ca="1" si="197"/>
        <v>-0.28773352612702502</v>
      </c>
      <c r="H413" s="15">
        <f t="shared" ca="1" si="197"/>
        <v>-3.3713971643004527E-2</v>
      </c>
      <c r="I413" s="15">
        <f t="shared" ca="1" si="197"/>
        <v>-4.2327447045427367E-2</v>
      </c>
      <c r="J413" s="15">
        <f t="shared" ca="1" si="197"/>
        <v>-3.5766852390361405E-2</v>
      </c>
      <c r="K413" s="15">
        <f t="shared" ca="1" si="197"/>
        <v>-3.0380117985364372E-2</v>
      </c>
      <c r="L413" s="6">
        <f ca="1">IF(L$6=OFFSET(Assumptions!$B$8,0,$C$1),AVERAGE(I$413/I$412,J$413/J$412,K$413/K$412),K$413/K$412)*L$412</f>
        <v>-2.8942396176037975E-2</v>
      </c>
      <c r="M413" s="6">
        <f ca="1">IF(M$6=OFFSET(Assumptions!$B$8,0,$C$1),AVERAGE(J$413/J$412,K$413/K$412,L$413/L$412),L$413/L$412)*M$412</f>
        <v>-3.109741921729638E-2</v>
      </c>
      <c r="N413" s="6">
        <f ca="1">IF(N$6=OFFSET(Assumptions!$B$8,0,$C$1),AVERAGE(K$413/K$412,L$413/L$412,M$413/M$412),M$413/M$412)*N$412</f>
        <v>-3.4267263616250175E-2</v>
      </c>
      <c r="O413" s="6">
        <f ca="1">IF(O$6=OFFSET(Assumptions!$B$8,0,$C$1),AVERAGE(L$413/L$412,M$413/M$412,N$413/N$412),N$413/N$412)*O$412</f>
        <v>-3.8343070456622511E-2</v>
      </c>
      <c r="P413" s="6">
        <f ca="1">IF(P$6=OFFSET(Assumptions!$B$8,0,$C$1),AVERAGE(M$413/M$412,N$413/N$412,O$413/O$412),O$413/O$412)*P$412</f>
        <v>-4.3274849917495854E-2</v>
      </c>
      <c r="Q413" s="6">
        <f ca="1">IF(Q$6=OFFSET(Assumptions!$B$8,0,$C$1),AVERAGE(N$413/N$412,O$413/O$412,P$413/P$412),P$413/P$412)*Q$412</f>
        <v>-4.9049249043852258E-2</v>
      </c>
      <c r="R413" s="6">
        <f ca="1">IF(R$6=OFFSET(Assumptions!$B$8,0,$C$1),AVERAGE(O$413/O$412,P$413/P$412,Q$413/Q$412),Q$413/Q$412)*R$412</f>
        <v>-5.5082816043838218E-2</v>
      </c>
      <c r="S413" s="6">
        <f ca="1">IF(S$6=OFFSET(Assumptions!$B$8,0,$C$1),AVERAGE(P$413/P$412,Q$413/Q$412,R$413/R$412),R$413/R$412)*S$412</f>
        <v>-6.1394450127946171E-2</v>
      </c>
      <c r="T413" s="6">
        <f ca="1">IF(T$6=OFFSET(Assumptions!$B$8,0,$C$1),AVERAGE(Q$413/Q$412,R$413/R$412,S$413/S$412),S$413/S$412)*T$412</f>
        <v>-6.7991688024909361E-2</v>
      </c>
      <c r="U413" s="6">
        <f ca="1">IF(U$6=OFFSET(Assumptions!$B$8,0,$C$1),AVERAGE(R$413/R$412,S$413/S$412,T$413/T$412),T$413/T$412)*U$412</f>
        <v>-7.4885059504988416E-2</v>
      </c>
    </row>
    <row r="414" spans="1:21" x14ac:dyDescent="0.2">
      <c r="A414" s="1" t="s">
        <v>1227</v>
      </c>
      <c r="B414" s="4" t="str">
        <f>$B$37</f>
        <v>From Fiscal</v>
      </c>
      <c r="D414" s="14">
        <f>'Fiscal Forecasts'!D$243</f>
        <v>1.2509999999999999</v>
      </c>
      <c r="E414" s="14">
        <f>'Fiscal Forecasts'!E$243</f>
        <v>1.306</v>
      </c>
      <c r="F414" s="14">
        <f>'Fiscal Forecasts'!F$243</f>
        <v>1.36</v>
      </c>
      <c r="G414" s="15">
        <f>'Fiscal Forecasts'!G$243</f>
        <v>1.4570000000000001</v>
      </c>
      <c r="H414" s="15">
        <f>'Fiscal Forecasts'!H$243</f>
        <v>1.5169999999999999</v>
      </c>
      <c r="I414" s="15">
        <f>'Fiscal Forecasts'!I$243</f>
        <v>1.569</v>
      </c>
      <c r="J414" s="15">
        <f>'Fiscal Forecasts'!J$243</f>
        <v>1.583</v>
      </c>
      <c r="K414" s="15">
        <f>'Fiscal Forecasts'!K$243</f>
        <v>1.6120000000000001</v>
      </c>
      <c r="L414" s="6">
        <f ca="1">IF(L$6=OFFSET(Assumptions!$B$8,0,$C$1),AVERAGE(I$414/SUM(H$407,H$441:H$442),J$414/SUM(I$407,I$441:I$442),K$414/SUM(J$407,J$441:J$442)),K$414/SUM(J$407,J$441:J$442))*SUM(K$407,K$441:K$442)</f>
        <v>1.7973708696428234</v>
      </c>
      <c r="M414" s="6">
        <f ca="1">IF(M$6=OFFSET(Assumptions!$B$8,0,$C$1),AVERAGE(J$414/SUM(I$407,I$441:I$442),K$414/SUM(J$407,J$441:J$442),L$414/SUM(K$407,K$441:K$442)),L$414/SUM(K$407,K$441:K$442))*SUM(L$407,L$441:L$442)</f>
        <v>1.9382766800531039</v>
      </c>
      <c r="N414" s="6">
        <f ca="1">IF(N$6=OFFSET(Assumptions!$B$8,0,$C$1),AVERAGE(K$414/SUM(J$407,J$441:J$442),L$414/SUM(K$407,K$441:K$442),M$414/SUM(L$407,L$441:L$442)),M$414/SUM(L$407,L$441:L$442))*SUM(M$407,M$441:M$442)</f>
        <v>2.1396382047744962</v>
      </c>
      <c r="O414" s="6">
        <f ca="1">IF(O$6=OFFSET(Assumptions!$B$8,0,$C$1),AVERAGE(L$414/SUM(K$407,K$441:K$442),M$414/SUM(L$407,L$441:L$442),N$414/SUM(M$407,M$441:M$442)),N$414/SUM(M$407,M$441:M$442))*SUM(N$407,N$441:N$442)</f>
        <v>2.3993109580861756</v>
      </c>
      <c r="P414" s="6">
        <f ca="1">IF(P$6=OFFSET(Assumptions!$B$8,0,$C$1),AVERAGE(M$414/SUM(L$407,L$441:L$442),N$414/SUM(M$407,M$441:M$442),O$414/SUM(N$407,N$441:N$442)),O$414/SUM(N$407,N$441:N$442))*SUM(O$407,O$441:O$442)</f>
        <v>2.714039059697011</v>
      </c>
      <c r="Q414" s="6">
        <f ca="1">IF(Q$6=OFFSET(Assumptions!$B$8,0,$C$1),AVERAGE(N$414/SUM(M$407,M$441:M$442),O$414/SUM(N$407,N$441:N$442),P$414/SUM(O$407,O$441:O$442)),P$414/SUM(O$407,O$441:O$442))*SUM(P$407,P$441:P$442)</f>
        <v>3.0840080177976055</v>
      </c>
      <c r="R414" s="6">
        <f ca="1">IF(R$6=OFFSET(Assumptions!$B$8,0,$C$1),AVERAGE(O$414/SUM(N$407,N$441:N$442),P$414/SUM(O$407,O$441:O$442),Q$414/SUM(P$407,P$441:P$442)),Q$414/SUM(P$407,P$441:P$442))*SUM(Q$407,Q$441:Q$442)</f>
        <v>3.4706255790127267</v>
      </c>
      <c r="S414" s="6">
        <f ca="1">IF(S$6=OFFSET(Assumptions!$B$8,0,$C$1),AVERAGE(P$414/SUM(O$407,O$441:O$442),Q$414/SUM(P$407,P$441:P$442),R$414/SUM(Q$407,Q$441:Q$442)),R$414/SUM(Q$407,Q$441:Q$442))*SUM(R$407,R$441:R$442)</f>
        <v>3.8746409304825287</v>
      </c>
      <c r="T414" s="6">
        <f ca="1">IF(T$6=OFFSET(Assumptions!$B$8,0,$C$1),AVERAGE(Q$414/SUM(P$407,P$441:P$442),R$414/SUM(Q$407,Q$441:Q$442),S$414/SUM(R$407,R$441:R$442)),S$414/SUM(R$407,R$441:R$442))*SUM(S$407,S$441:S$442)</f>
        <v>4.296836972768471</v>
      </c>
      <c r="U414" s="6">
        <f ca="1">IF(U$6=OFFSET(Assumptions!$B$8,0,$C$1),AVERAGE(R$414/SUM(Q$407,Q$441:Q$442),S$414/SUM(R$407,R$441:R$442),T$414/SUM(S$407,S$441:S$442)),T$414/SUM(S$407,S$441:S$442))*SUM(T$407,T$441:T$442)</f>
        <v>4.7380318369572816</v>
      </c>
    </row>
    <row r="415" spans="1:21" x14ac:dyDescent="0.2">
      <c r="A415" s="1" t="s">
        <v>598</v>
      </c>
      <c r="B415" s="4" t="str">
        <f>$B$37</f>
        <v>From Fiscal</v>
      </c>
      <c r="D415" s="14">
        <f>SUM('Fiscal Forecasts'!D$323:D$326)</f>
        <v>9.2320000000000011</v>
      </c>
      <c r="E415" s="14">
        <f>SUM('Fiscal Forecasts'!E$323:E$326)</f>
        <v>11.125</v>
      </c>
      <c r="F415" s="14">
        <f>SUM('Fiscal Forecasts'!F$323:F$326)</f>
        <v>10.824999999999999</v>
      </c>
      <c r="G415" s="15">
        <f>SUM('Fiscal Forecasts'!G$323:G$326)</f>
        <v>8.9830000000000023</v>
      </c>
      <c r="H415" s="15">
        <f>SUM('Fiscal Forecasts'!H$323:H$326)</f>
        <v>10.757000000000001</v>
      </c>
      <c r="I415" s="15">
        <f>SUM('Fiscal Forecasts'!I$323:I$326)</f>
        <v>8.2490000000000006</v>
      </c>
      <c r="J415" s="15">
        <f>SUM('Fiscal Forecasts'!J$323:J$326)</f>
        <v>7.8059999999999992</v>
      </c>
      <c r="K415" s="15">
        <f>SUM('Fiscal Forecasts'!K$323:K$326)</f>
        <v>6.3719999999999999</v>
      </c>
      <c r="L415" s="6">
        <f ca="1">SUM(L$412,SUM(L$417-L$414,L$128-L$278)/(1-IF(L$6=OFFSET(Assumptions!$B$8,0,$C$1),AVERAGE((I$416-I$413)/(I$415-I$412),(J$416-J$413)/(J$415-J$412),(K$416-K$413)/(K$415-K$412)),(K$416-K$413)/(K$415-K$412))))</f>
        <v>6.4926774624367862</v>
      </c>
      <c r="M415" s="6">
        <f ca="1">SUM(M$412,SUM(M$417-M$414,M$128-M$278)/(1-IF(M$6=OFFSET(Assumptions!$B$8,0,$C$1),AVERAGE((J$416-J$413)/(J$415-J$412),(K$416-K$413)/(K$415-K$412),(L$416-L$413)/(L$415-L$412)),(L$416-L$413)/(L$415-L$412))))</f>
        <v>6.8316692639714542</v>
      </c>
      <c r="N415" s="6">
        <f ca="1">SUM(N$412,SUM(N$417-N$414,N$128-N$278)/(1-IF(N$6=OFFSET(Assumptions!$B$8,0,$C$1),AVERAGE((K$416-K$413)/(K$415-K$412),(L$416-L$413)/(L$415-L$412),(M$416-M$413)/(M$415-M$412)),(M$416-M$413)/(M$415-M$412))))</f>
        <v>7.1393410925446998</v>
      </c>
      <c r="O415" s="6">
        <f ca="1">SUM(O$412,SUM(O$417-O$414,O$128-O$278)/(1-IF(O$6=OFFSET(Assumptions!$B$8,0,$C$1),AVERAGE((L$416-L$413)/(L$415-L$412),(M$416-M$413)/(M$415-M$412),(N$416-N$413)/(N$415-N$412)),(N$416-N$413)/(N$415-N$412))))</f>
        <v>7.5078917387792758</v>
      </c>
      <c r="P415" s="6">
        <f ca="1">SUM(P$412,SUM(P$417-P$414,P$128-P$278)/(1-IF(P$6=OFFSET(Assumptions!$B$8,0,$C$1),AVERAGE((M$416-M$413)/(M$415-M$412),(N$416-N$413)/(N$415-N$412),(O$416-O$413)/(O$415-O$412)),(O$416-O$413)/(O$415-O$412))))</f>
        <v>7.9348057780467407</v>
      </c>
      <c r="Q415" s="6">
        <f ca="1">SUM(Q$412,SUM(Q$417-Q$414,Q$128-Q$278)/(1-IF(Q$6=OFFSET(Assumptions!$B$8,0,$C$1),AVERAGE((N$416-N$413)/(N$415-N$412),(O$416-O$413)/(O$415-O$412),(P$416-P$413)/(P$415-P$412)),(P$416-P$413)/(P$415-P$412))))</f>
        <v>8.4194130547714447</v>
      </c>
      <c r="R415" s="6">
        <f ca="1">SUM(R$412,SUM(R$417-R$414,R$128-R$278)/(1-IF(R$6=OFFSET(Assumptions!$B$8,0,$C$1),AVERAGE((O$416-O$413)/(O$415-O$412),(P$416-P$413)/(P$415-P$412),(Q$416-Q$413)/(Q$415-Q$412)),(Q$416-Q$413)/(Q$415-Q$412))))</f>
        <v>8.9247276478277087</v>
      </c>
      <c r="S415" s="6">
        <f ca="1">SUM(S$412,SUM(S$417-S$414,S$128-S$278)/(1-IF(S$6=OFFSET(Assumptions!$B$8,0,$C$1),AVERAGE((P$416-P$413)/(P$415-P$412),(Q$416-Q$413)/(Q$415-Q$412),(R$416-R$413)/(R$415-R$412)),(R$416-R$413)/(R$415-R$412))))</f>
        <v>9.4522300673835211</v>
      </c>
      <c r="T415" s="6">
        <f ca="1">SUM(T$412,SUM(T$417-T$414,T$128-T$278)/(1-IF(T$6=OFFSET(Assumptions!$B$8,0,$C$1),AVERAGE((Q$416-Q$413)/(Q$415-Q$412),(R$416-R$413)/(R$415-R$412),(S$416-S$413)/(S$415-S$412)),(S$416-S$413)/(S$415-S$412))))</f>
        <v>10.002537598569704</v>
      </c>
      <c r="U415" s="6">
        <f ca="1">SUM(U$412,SUM(U$417-U$414,U$128-U$278)/(1-IF(U$6=OFFSET(Assumptions!$B$8,0,$C$1),AVERAGE((R$416-R$413)/(R$415-R$412),(S$416-S$413)/(S$415-S$412),(T$416-T$413)/(T$415-T$412)),(T$416-T$413)/(T$415-T$412))))</f>
        <v>10.576627734440539</v>
      </c>
    </row>
    <row r="416" spans="1:21" x14ac:dyDescent="0.2">
      <c r="A416" s="1" t="s">
        <v>694</v>
      </c>
      <c r="B416" s="4" t="str">
        <f>$B$37</f>
        <v>From Fiscal</v>
      </c>
      <c r="D416" s="14">
        <f>SUM('Fiscal Forecasts'!D$328:D$330,'Fiscal Forecasts'!D$332)</f>
        <v>-2.8930000000000002</v>
      </c>
      <c r="E416" s="14">
        <f>SUM('Fiscal Forecasts'!E$328:E$330,'Fiscal Forecasts'!E$332)</f>
        <v>-2.7280000000000002</v>
      </c>
      <c r="F416" s="14">
        <f>SUM('Fiscal Forecasts'!F$328:F$330,'Fiscal Forecasts'!F$332)</f>
        <v>-3.2989999999999999</v>
      </c>
      <c r="G416" s="15">
        <f>SUM('Fiscal Forecasts'!G$328:G$330,'Fiscal Forecasts'!G$332)</f>
        <v>-1.0669999999999999</v>
      </c>
      <c r="H416" s="15">
        <f>SUM('Fiscal Forecasts'!H$328:H$330,'Fiscal Forecasts'!H$332)</f>
        <v>-0.127</v>
      </c>
      <c r="I416" s="15">
        <f>SUM('Fiscal Forecasts'!I$328:I$330,'Fiscal Forecasts'!I$332)</f>
        <v>-0.159</v>
      </c>
      <c r="J416" s="15">
        <f>SUM('Fiscal Forecasts'!J$328:J$330,'Fiscal Forecasts'!J$332)</f>
        <v>-0.13300000000000001</v>
      </c>
      <c r="K416" s="15">
        <f>SUM('Fiscal Forecasts'!K$328:K$330,'Fiscal Forecasts'!K$332)</f>
        <v>-0.114</v>
      </c>
      <c r="L416" s="6">
        <f ca="1">SUM(L$413,IF(L$6=OFFSET(Assumptions!$B$8,0,$C$1),AVERAGE((I$416-I$413)/(I$415-I$412),(J$416-J$413)/(J$415-J$412),(K$416-K$413)/(K$415-K$412)),(K$416-K$413)/(K$415-K$412))*(L$415-L$412))</f>
        <v>-0.11891602092287426</v>
      </c>
      <c r="M416" s="6">
        <f ca="1">SUM(M$413,IF(M$6=OFFSET(Assumptions!$B$8,0,$C$1),AVERAGE((J$416-J$413)/(J$415-J$412),(K$416-K$413)/(K$415-K$412),(L$416-L$413)/(L$415-L$412)),(L$416-L$413)/(L$415-L$412))*(M$415-M$412))</f>
        <v>-0.1249818854993605</v>
      </c>
      <c r="N416" s="6">
        <f ca="1">SUM(N$413,IF(N$6=OFFSET(Assumptions!$B$8,0,$C$1),AVERAGE((K$416-K$413)/(K$415-K$412),(L$416-L$413)/(L$415-L$412),(M$416-M$413)/(M$415-M$412)),(M$416-M$413)/(M$415-M$412))*(N$415-N$412))</f>
        <v>-0.13021789538590842</v>
      </c>
      <c r="O416" s="6">
        <f ca="1">SUM(O$413,IF(O$6=OFFSET(Assumptions!$B$8,0,$C$1),AVERAGE((L$416-L$413)/(L$415-L$412),(M$416-M$413)/(M$415-M$412),(N$416-N$413)/(N$415-N$412)),(N$416-N$413)/(N$415-N$412))*(O$415-O$412))</f>
        <v>-0.13642808555189354</v>
      </c>
      <c r="P416" s="6">
        <f ca="1">SUM(P$413,IF(P$6=OFFSET(Assumptions!$B$8,0,$C$1),AVERAGE((M$416-M$413)/(M$415-M$412),(N$416-N$413)/(N$415-N$412),(O$416-O$413)/(O$415-O$412)),(O$416-O$413)/(O$415-O$412))*(P$415-P$412))</f>
        <v>-0.14357499113821243</v>
      </c>
      <c r="Q416" s="6">
        <f ca="1">SUM(Q$413,IF(Q$6=OFFSET(Assumptions!$B$8,0,$C$1),AVERAGE((N$416-N$413)/(N$415-N$412),(O$416-O$413)/(O$415-O$412),(P$416-P$413)/(P$415-P$412)),(P$416-P$413)/(P$415-P$412))*(Q$415-Q$412))</f>
        <v>-0.15164863852551125</v>
      </c>
      <c r="R416" s="6">
        <f ca="1">SUM(R$413,IF(R$6=OFFSET(Assumptions!$B$8,0,$C$1),AVERAGE((O$416-O$413)/(O$415-O$412),(P$416-P$413)/(P$415-P$412),(Q$416-Q$413)/(Q$415-Q$412)),(Q$416-Q$413)/(Q$415-Q$412))*(R$415-R$412))</f>
        <v>-0.16006451554332013</v>
      </c>
      <c r="S416" s="6">
        <f ca="1">SUM(S$413,IF(S$6=OFFSET(Assumptions!$B$8,0,$C$1),AVERAGE((P$416-P$413)/(P$415-P$412),(Q$416-Q$413)/(Q$415-Q$412),(R$416-R$413)/(R$415-R$412)),(R$416-R$413)/(R$415-R$412))*(S$415-S$412))</f>
        <v>-0.16884700856369789</v>
      </c>
      <c r="T416" s="6">
        <f ca="1">SUM(T$413,IF(T$6=OFFSET(Assumptions!$B$8,0,$C$1),AVERAGE((Q$416-Q$413)/(Q$415-Q$412),(R$416-R$413)/(R$415-R$412),(S$416-S$413)/(S$415-S$412)),(S$416-S$413)/(S$415-S$412))*(T$415-T$412))</f>
        <v>-0.1780063614139199</v>
      </c>
      <c r="U416" s="6">
        <f ca="1">SUM(U$413,IF(U$6=OFFSET(Assumptions!$B$8,0,$C$1),AVERAGE((R$416-R$413)/(R$415-R$412),(S$416-S$413)/(S$415-S$412),(T$416-T$413)/(T$415-T$412)),(T$416-T$413)/(T$415-T$412))*(U$415-U$412))</f>
        <v>-0.18755910736718684</v>
      </c>
    </row>
    <row r="417" spans="1:21" x14ac:dyDescent="0.2">
      <c r="A417" s="1" t="s">
        <v>1228</v>
      </c>
      <c r="B417" s="4" t="str">
        <f>$B$37</f>
        <v>From Fiscal</v>
      </c>
      <c r="D417" s="14">
        <f>'Fiscal Forecasts'!D$331</f>
        <v>3.8730000000000002</v>
      </c>
      <c r="E417" s="14">
        <f>'Fiscal Forecasts'!E$331</f>
        <v>3.9119999999999999</v>
      </c>
      <c r="F417" s="14">
        <f>'Fiscal Forecasts'!F$331</f>
        <v>4.0730000000000004</v>
      </c>
      <c r="G417" s="15">
        <f>'Fiscal Forecasts'!G$331</f>
        <v>4.7770000000000001</v>
      </c>
      <c r="H417" s="15">
        <f>'Fiscal Forecasts'!H$331</f>
        <v>4.84</v>
      </c>
      <c r="I417" s="15">
        <f>'Fiscal Forecasts'!I$331</f>
        <v>4.8499999999999996</v>
      </c>
      <c r="J417" s="15">
        <f>'Fiscal Forecasts'!J$331</f>
        <v>4.9210000000000003</v>
      </c>
      <c r="K417" s="15">
        <f>'Fiscal Forecasts'!K$331</f>
        <v>4.9829999999999997</v>
      </c>
      <c r="L417" s="6">
        <f ca="1">SUM(L$414,IF(L$6=OFFSET(Assumptions!$B$8,0,$C$1),AVERAGE((I$417-I$414)/SUM(H$409:H$410),(J$417-J$414)/SUM(I$409:I$410),(K$417-K$414)/SUM(J$409:J$410)),(K$417-K$414)/SUM(J$409:J$410))*SUM(K$409:K$410))</f>
        <v>5.2256934820093939</v>
      </c>
      <c r="M417" s="6">
        <f ca="1">SUM(M$414,IF(M$6=OFFSET(Assumptions!$B$8,0,$C$1),AVERAGE((J$417-J$414)/SUM(I$409:I$410),(K$417-K$414)/SUM(J$409:J$410),(L$417-L$414)/SUM(K$409:K$410)),(L$417-L$414)/SUM(K$409:K$410))*SUM(L$409:L$410))</f>
        <v>5.4044318759016239</v>
      </c>
      <c r="N417" s="6">
        <f ca="1">SUM(N$414,IF(N$6=OFFSET(Assumptions!$B$8,0,$C$1),AVERAGE((K$417-K$414)/SUM(J$409:J$410),(L$417-L$414)/SUM(K$409:K$410),(M$417-M$414)/SUM(L$409:L$410)),(M$417-M$414)/SUM(L$409:L$410))*SUM(M$409:M$410))</f>
        <v>5.6484514438797353</v>
      </c>
      <c r="O417" s="6">
        <f ca="1">SUM(O$414,IF(O$6=OFFSET(Assumptions!$B$8,0,$C$1),AVERAGE((L$417-L$414)/SUM(K$409:K$410),(M$417-M$414)/SUM(L$409:L$410),(N$417-N$414)/SUM(M$409:M$410)),(N$417-N$414)/SUM(M$409:M$410))*SUM(N$409:N$410))</f>
        <v>5.9526830107350506</v>
      </c>
      <c r="P417" s="6">
        <f ca="1">SUM(P$414,IF(P$6=OFFSET(Assumptions!$B$8,0,$C$1),AVERAGE((M$417-M$414)/SUM(L$409:L$410),(N$417-N$414)/SUM(M$409:M$410),(O$417-O$414)/SUM(N$409:N$410)),(O$417-O$414)/SUM(N$409:N$410))*SUM(O$409:O$410))</f>
        <v>6.3139193671659744</v>
      </c>
      <c r="Q417" s="6">
        <f ca="1">SUM(Q$414,IF(Q$6=OFFSET(Assumptions!$B$8,0,$C$1),AVERAGE((N$417-N$414)/SUM(M$409:M$410),(O$417-O$414)/SUM(N$409:N$410),(P$417-P$414)/SUM(O$409:O$410)),(P$417-P$414)/SUM(O$409:O$410))*SUM(P$409:P$410))</f>
        <v>6.7324122205171752</v>
      </c>
      <c r="R417" s="6">
        <f ca="1">SUM(R$414,IF(R$6=OFFSET(Assumptions!$B$8,0,$C$1),AVERAGE((O$417-O$414)/SUM(N$409:N$410),(P$417-P$414)/SUM(O$409:O$410),(Q$417-Q$414)/SUM(P$409:P$410)),(Q$417-Q$414)/SUM(P$409:P$410))*SUM(Q$409:Q$410))</f>
        <v>7.169638727544692</v>
      </c>
      <c r="S417" s="6">
        <f ca="1">SUM(S$414,IF(S$6=OFFSET(Assumptions!$B$8,0,$C$1),AVERAGE((P$417-P$414)/SUM(O$409:O$410),(Q$417-Q$414)/SUM(P$409:P$410),(R$417-R$414)/SUM(Q$409:Q$410)),(R$417-R$414)/SUM(Q$409:Q$410))*SUM(R$409:R$410))</f>
        <v>7.6264138978422347</v>
      </c>
      <c r="T417" s="6">
        <f ca="1">SUM(T$414,IF(T$6=OFFSET(Assumptions!$B$8,0,$C$1),AVERAGE((Q$417-Q$414)/SUM(P$409:P$410),(R$417-R$414)/SUM(Q$409:Q$410),(S$417-S$414)/SUM(R$409:R$410)),(S$417-S$414)/SUM(R$409:R$410))*SUM(S$409:S$410))</f>
        <v>8.1035928603353788</v>
      </c>
      <c r="U417" s="6">
        <f ca="1">SUM(U$414,IF(U$6=OFFSET(Assumptions!$B$8,0,$C$1),AVERAGE((R$417-R$414)/SUM(Q$409:Q$410),(S$417-S$414)/SUM(R$409:R$410),(T$417-T$414)/SUM(S$409:S$410)),(T$417-T$414)/SUM(S$409:S$410))*SUM(T$409:T$410))</f>
        <v>8.6020679974506962</v>
      </c>
    </row>
    <row r="418" spans="1:21" x14ac:dyDescent="0.2">
      <c r="B418" s="63"/>
      <c r="C418" s="63"/>
      <c r="D418" s="63"/>
      <c r="E418" s="63"/>
      <c r="F418" s="63"/>
      <c r="G418" s="63"/>
      <c r="H418" s="63"/>
      <c r="I418" s="63"/>
      <c r="J418" s="63"/>
      <c r="K418" s="63"/>
      <c r="L418" s="63"/>
      <c r="M418" s="63"/>
      <c r="N418" s="63"/>
      <c r="O418" s="63"/>
      <c r="P418" s="63"/>
      <c r="Q418" s="63"/>
      <c r="R418" s="63"/>
      <c r="S418" s="63"/>
      <c r="T418" s="63"/>
      <c r="U418" s="63"/>
    </row>
    <row r="419" spans="1:21" x14ac:dyDescent="0.2">
      <c r="A419" s="18" t="s">
        <v>220</v>
      </c>
      <c r="B419" s="63"/>
      <c r="C419" s="63"/>
      <c r="D419" s="63"/>
      <c r="E419" s="63"/>
      <c r="F419" s="63"/>
      <c r="G419" s="63"/>
      <c r="H419" s="63"/>
      <c r="I419" s="63"/>
      <c r="J419" s="63"/>
      <c r="K419" s="63"/>
      <c r="L419" s="63"/>
      <c r="M419" s="63"/>
      <c r="N419" s="63"/>
      <c r="O419" s="63"/>
      <c r="P419" s="63"/>
      <c r="Q419" s="63"/>
      <c r="R419" s="63"/>
      <c r="S419" s="63"/>
      <c r="T419" s="63"/>
      <c r="U419" s="63"/>
    </row>
    <row r="420" spans="1:21" x14ac:dyDescent="0.2">
      <c r="A420" s="1" t="s">
        <v>602</v>
      </c>
      <c r="B420" s="4"/>
      <c r="D420" s="14">
        <f ca="1">D$377-D$406</f>
        <v>1.09778</v>
      </c>
      <c r="E420" s="14">
        <f ca="1">E$377-E$406</f>
        <v>1.2507299999999999</v>
      </c>
      <c r="F420" s="14">
        <f ca="1">F$377-F$406</f>
        <v>1.47194</v>
      </c>
      <c r="G420" s="15">
        <f t="shared" ref="G420:K420" ca="1" si="198">G$377-G$406</f>
        <v>1.4653499999999999</v>
      </c>
      <c r="H420" s="15">
        <f t="shared" ca="1" si="198"/>
        <v>1.54542</v>
      </c>
      <c r="I420" s="15">
        <f t="shared" ca="1" si="198"/>
        <v>1.5649999999999999</v>
      </c>
      <c r="J420" s="15">
        <f t="shared" ca="1" si="198"/>
        <v>1.5775400000000002</v>
      </c>
      <c r="K420" s="15">
        <f t="shared" ca="1" si="198"/>
        <v>1.5863300000000002</v>
      </c>
      <c r="L420" s="6">
        <f ca="1">OFFSET(Assumptions!$B$76,0,$C$1)/SUM(OFFSET(Assumptions!$B$71,0,$C$1,6,1))*SUM(L$373,L$69,-L$341,L$448)</f>
        <v>3.2261025741940776</v>
      </c>
      <c r="M420" s="6">
        <f ca="1">OFFSET(Assumptions!$B$76,0,$C$1)/SUM(OFFSET(Assumptions!$B$71,0,$C$1,6,1))*SUM(M$373,M$69,-M$341,M$448)</f>
        <v>3.5321381975076753</v>
      </c>
      <c r="N420" s="6">
        <f ca="1">OFFSET(Assumptions!$B$76,0,$C$1)/SUM(OFFSET(Assumptions!$B$71,0,$C$1,6,1))*SUM(N$373,N$69,-N$341,N$448)</f>
        <v>3.8504302704882853</v>
      </c>
      <c r="O420" s="6">
        <f ca="1">OFFSET(Assumptions!$B$76,0,$C$1)/SUM(OFFSET(Assumptions!$B$71,0,$C$1,6,1))*SUM(O$373,O$69,-O$341,O$448)</f>
        <v>4.1806778853278512</v>
      </c>
      <c r="P420" s="6">
        <f ca="1">OFFSET(Assumptions!$B$76,0,$C$1)/SUM(OFFSET(Assumptions!$B$71,0,$C$1,6,1))*SUM(P$373,P$69,-P$341,P$448)</f>
        <v>4.5227884532753304</v>
      </c>
      <c r="Q420" s="6">
        <f ca="1">OFFSET(Assumptions!$B$76,0,$C$1)/SUM(OFFSET(Assumptions!$B$71,0,$C$1,6,1))*SUM(Q$373,Q$69,-Q$341,Q$448)</f>
        <v>4.8714490418836256</v>
      </c>
      <c r="R420" s="6">
        <f ca="1">OFFSET(Assumptions!$B$76,0,$C$1)/SUM(OFFSET(Assumptions!$B$71,0,$C$1,6,1))*SUM(R$373,R$69,-R$341,R$448)</f>
        <v>5.2267357628690867</v>
      </c>
      <c r="S420" s="6">
        <f ca="1">OFFSET(Assumptions!$B$76,0,$C$1)/SUM(OFFSET(Assumptions!$B$71,0,$C$1,6,1))*SUM(S$373,S$69,-S$341,S$448)</f>
        <v>5.5910546445611882</v>
      </c>
      <c r="T420" s="6">
        <f ca="1">OFFSET(Assumptions!$B$76,0,$C$1)/SUM(OFFSET(Assumptions!$B$71,0,$C$1,6,1))*SUM(T$373,T$69,-T$341,T$448)</f>
        <v>5.9653201735222714</v>
      </c>
      <c r="U420" s="6">
        <f ca="1">OFFSET(Assumptions!$B$76,0,$C$1)/SUM(OFFSET(Assumptions!$B$71,0,$C$1,6,1))*SUM(U$373,U$69,-U$341,U$448)</f>
        <v>6.3497413661525952</v>
      </c>
    </row>
    <row r="421" spans="1:21" x14ac:dyDescent="0.2">
      <c r="A421" s="1" t="s">
        <v>603</v>
      </c>
      <c r="B421" s="4" t="str">
        <f>$B$37</f>
        <v>From Fiscal</v>
      </c>
      <c r="D421" s="14">
        <f ca="1">'Fiscal Forecasts'!D$173-D$420</f>
        <v>33.785220000000002</v>
      </c>
      <c r="E421" s="14">
        <f ca="1">'Fiscal Forecasts'!E$173-E$420</f>
        <v>37.12527</v>
      </c>
      <c r="F421" s="14">
        <f ca="1">'Fiscal Forecasts'!F$173-F$420</f>
        <v>41.529060000000001</v>
      </c>
      <c r="G421" s="15">
        <f ca="1">'Fiscal Forecasts'!G$173-G$420</f>
        <v>44.517649999999996</v>
      </c>
      <c r="H421" s="15">
        <f ca="1">'Fiscal Forecasts'!H$173-H$420</f>
        <v>48.552579999999999</v>
      </c>
      <c r="I421" s="15">
        <f ca="1">'Fiscal Forecasts'!I$173-I$420</f>
        <v>50.989000000000004</v>
      </c>
      <c r="J421" s="15">
        <f ca="1">'Fiscal Forecasts'!J$173-J$420</f>
        <v>52.995460000000001</v>
      </c>
      <c r="K421" s="15">
        <f ca="1">'Fiscal Forecasts'!K$173-K$420</f>
        <v>54.568669999999997</v>
      </c>
      <c r="L421" s="6">
        <f t="shared" ref="L421:U421" ca="1" si="199">SUM(K$421,L$128-L$278)</f>
        <v>55.891019486511446</v>
      </c>
      <c r="M421" s="6">
        <f t="shared" ca="1" si="199"/>
        <v>57.382031635417917</v>
      </c>
      <c r="N421" s="6">
        <f t="shared" ca="1" si="199"/>
        <v>58.93948076487267</v>
      </c>
      <c r="O421" s="6">
        <f t="shared" ca="1" si="199"/>
        <v>60.565068055500873</v>
      </c>
      <c r="P421" s="6">
        <f t="shared" ca="1" si="199"/>
        <v>62.261107343930355</v>
      </c>
      <c r="Q421" s="6">
        <f t="shared" ca="1" si="199"/>
        <v>64.03002469898847</v>
      </c>
      <c r="R421" s="6">
        <f t="shared" ca="1" si="199"/>
        <v>65.87412079061771</v>
      </c>
      <c r="S421" s="6">
        <f t="shared" ca="1" si="199"/>
        <v>67.795920192384273</v>
      </c>
      <c r="T421" s="6">
        <f t="shared" ca="1" si="199"/>
        <v>69.798018186240299</v>
      </c>
      <c r="U421" s="6">
        <f t="shared" ca="1" si="199"/>
        <v>71.883252792071261</v>
      </c>
    </row>
    <row r="422" spans="1:21" ht="15" x14ac:dyDescent="0.25">
      <c r="A422" s="2" t="s">
        <v>604</v>
      </c>
      <c r="B422" s="4"/>
      <c r="D422" s="34">
        <f t="shared" ref="D422:U422" ca="1" si="200">SUM(D$420:D$421)</f>
        <v>34.883000000000003</v>
      </c>
      <c r="E422" s="34">
        <f t="shared" ca="1" si="200"/>
        <v>38.375999999999998</v>
      </c>
      <c r="F422" s="34">
        <f t="shared" ca="1" si="200"/>
        <v>43.001000000000005</v>
      </c>
      <c r="G422" s="33">
        <f t="shared" ca="1" si="200"/>
        <v>45.982999999999997</v>
      </c>
      <c r="H422" s="33">
        <f t="shared" ca="1" si="200"/>
        <v>50.097999999999999</v>
      </c>
      <c r="I422" s="33">
        <f t="shared" ca="1" si="200"/>
        <v>52.554000000000002</v>
      </c>
      <c r="J422" s="33">
        <f t="shared" ca="1" si="200"/>
        <v>54.573</v>
      </c>
      <c r="K422" s="33">
        <f t="shared" ca="1" si="200"/>
        <v>56.155000000000001</v>
      </c>
      <c r="L422" s="37">
        <f t="shared" ca="1" si="200"/>
        <v>59.117122060705526</v>
      </c>
      <c r="M422" s="37">
        <f t="shared" ca="1" si="200"/>
        <v>60.914169832925595</v>
      </c>
      <c r="N422" s="37">
        <f t="shared" ca="1" si="200"/>
        <v>62.789911035360959</v>
      </c>
      <c r="O422" s="37">
        <f t="shared" ca="1" si="200"/>
        <v>64.745745940828726</v>
      </c>
      <c r="P422" s="37">
        <f t="shared" ca="1" si="200"/>
        <v>66.783895797205687</v>
      </c>
      <c r="Q422" s="37">
        <f t="shared" ca="1" si="200"/>
        <v>68.901473740872092</v>
      </c>
      <c r="R422" s="37">
        <f t="shared" ca="1" si="200"/>
        <v>71.100856553486793</v>
      </c>
      <c r="S422" s="37">
        <f t="shared" ca="1" si="200"/>
        <v>73.386974836945456</v>
      </c>
      <c r="T422" s="37">
        <f t="shared" ca="1" si="200"/>
        <v>75.763338359762571</v>
      </c>
      <c r="U422" s="37">
        <f t="shared" ca="1" si="200"/>
        <v>78.23299415822386</v>
      </c>
    </row>
    <row r="423" spans="1:21" ht="15" x14ac:dyDescent="0.25">
      <c r="A423" s="2" t="s">
        <v>605</v>
      </c>
      <c r="B423" s="4" t="str">
        <f>$B$37</f>
        <v>From Fiscal</v>
      </c>
      <c r="D423" s="39">
        <f>'Fiscal Forecasts'!D$122</f>
        <v>11.917999999999999</v>
      </c>
      <c r="E423" s="39">
        <f>'Fiscal Forecasts'!E$122</f>
        <v>12.705</v>
      </c>
      <c r="F423" s="39">
        <f>'Fiscal Forecasts'!F$122</f>
        <v>14.21</v>
      </c>
      <c r="G423" s="38">
        <f>'Fiscal Forecasts'!G$122</f>
        <v>14.808</v>
      </c>
      <c r="H423" s="38">
        <f>'Fiscal Forecasts'!H$122</f>
        <v>15.384</v>
      </c>
      <c r="I423" s="38">
        <f>'Fiscal Forecasts'!I$122</f>
        <v>15.821</v>
      </c>
      <c r="J423" s="38">
        <f>'Fiscal Forecasts'!J$122</f>
        <v>16.356000000000002</v>
      </c>
      <c r="K423" s="38">
        <f>'Fiscal Forecasts'!K$122</f>
        <v>16.858000000000001</v>
      </c>
      <c r="L423" s="7">
        <f ca="1">IF(L$6=OFFSET(Assumptions!$B$8,0,$C$1),AVERAGE(I$423/I$421,J$423/J$421,K$423/K$421),K$423/K$421)*L$421</f>
        <v>17.286061468192155</v>
      </c>
      <c r="M423" s="7">
        <f ca="1">IF(M$6=OFFSET(Assumptions!$B$8,0,$C$1),AVERAGE(J$423/J$421,K$423/K$421,L$423/L$421),L$423/L$421)*M$421</f>
        <v>17.747204025486869</v>
      </c>
      <c r="N423" s="7">
        <f ca="1">IF(N$6=OFFSET(Assumptions!$B$8,0,$C$1),AVERAGE(K$423/K$421,L$423/L$421,M$423/M$421),M$423/M$421)*N$421</f>
        <v>18.228894315495527</v>
      </c>
      <c r="O423" s="7">
        <f ca="1">IF(O$6=OFFSET(Assumptions!$B$8,0,$C$1),AVERAGE(L$423/L$421,M$423/M$421,N$423/N$421),N$423/N$421)*O$421</f>
        <v>18.731658482008765</v>
      </c>
      <c r="P423" s="7">
        <f ca="1">IF(P$6=OFFSET(Assumptions!$B$8,0,$C$1),AVERAGE(M$423/M$421,N$423/N$421,O$423/O$421),O$423/O$421)*P$421</f>
        <v>19.256212152018961</v>
      </c>
      <c r="Q423" s="7">
        <f ca="1">IF(Q$6=OFFSET(Assumptions!$B$8,0,$C$1),AVERAGE(N$423/N$421,O$423/O$421,P$423/P$421),P$423/P$421)*Q$421</f>
        <v>19.803305663867782</v>
      </c>
      <c r="R423" s="7">
        <f ca="1">IF(R$6=OFFSET(Assumptions!$B$8,0,$C$1),AVERAGE(O$423/O$421,P$423/P$421,Q$423/Q$421),Q$423/Q$421)*R$421</f>
        <v>20.373650572334679</v>
      </c>
      <c r="S423" s="7">
        <f ca="1">IF(S$6=OFFSET(Assumptions!$B$8,0,$C$1),AVERAGE(P$423/P$421,Q$423/Q$421,R$423/R$421),R$423/R$421)*S$421</f>
        <v>20.968027681460214</v>
      </c>
      <c r="T423" s="7">
        <f ca="1">IF(T$6=OFFSET(Assumptions!$B$8,0,$C$1),AVERAGE(Q$423/Q$421,R$423/R$421,S$423/S$421),S$423/S$421)*T$421</f>
        <v>21.587239664084574</v>
      </c>
      <c r="U423" s="7">
        <f ca="1">IF(U$6=OFFSET(Assumptions!$B$8,0,$C$1),AVERAGE(R$423/R$421,S$423/S$421,T$423/T$421),T$423/T$421)*U$421</f>
        <v>22.232164267413641</v>
      </c>
    </row>
    <row r="424" spans="1:21" ht="15" x14ac:dyDescent="0.25">
      <c r="A424" s="2"/>
      <c r="B424" s="4"/>
      <c r="D424" s="7"/>
      <c r="E424" s="7"/>
      <c r="F424" s="7"/>
      <c r="G424" s="7"/>
      <c r="H424" s="7"/>
      <c r="I424" s="7"/>
      <c r="J424" s="7"/>
      <c r="K424" s="7"/>
      <c r="L424" s="7"/>
      <c r="M424" s="7"/>
      <c r="N424" s="7"/>
      <c r="O424" s="7"/>
      <c r="P424" s="7"/>
      <c r="Q424" s="7"/>
      <c r="R424" s="7"/>
      <c r="S424" s="7"/>
      <c r="T424" s="7"/>
      <c r="U424" s="7"/>
    </row>
    <row r="425" spans="1:21" ht="15" x14ac:dyDescent="0.25">
      <c r="A425" s="18" t="s">
        <v>221</v>
      </c>
      <c r="B425" s="4"/>
      <c r="D425" s="39"/>
      <c r="E425" s="39"/>
      <c r="F425" s="39"/>
      <c r="G425" s="38"/>
      <c r="H425" s="38"/>
      <c r="I425" s="38"/>
      <c r="J425" s="38"/>
      <c r="K425" s="38"/>
      <c r="L425" s="38"/>
      <c r="M425" s="38"/>
      <c r="N425" s="38"/>
      <c r="O425" s="38"/>
      <c r="P425" s="38"/>
      <c r="Q425" s="38"/>
      <c r="R425" s="38"/>
      <c r="S425" s="38"/>
      <c r="T425" s="38"/>
      <c r="U425" s="38"/>
    </row>
    <row r="426" spans="1:21" ht="15" x14ac:dyDescent="0.25">
      <c r="A426" s="2" t="s">
        <v>298</v>
      </c>
      <c r="B426" s="4" t="str">
        <f>$B$37</f>
        <v>From Fiscal</v>
      </c>
      <c r="D426" s="14">
        <f>'Fiscal Forecasts'!D$174</f>
        <v>1.2390000000000001</v>
      </c>
      <c r="E426" s="14">
        <f>'Fiscal Forecasts'!E$174</f>
        <v>1.351</v>
      </c>
      <c r="F426" s="14">
        <f>'Fiscal Forecasts'!F$174</f>
        <v>1.478</v>
      </c>
      <c r="G426" s="15">
        <f>'Fiscal Forecasts'!G$174</f>
        <v>1.6919999999999999</v>
      </c>
      <c r="H426" s="15">
        <f>'Fiscal Forecasts'!H$174</f>
        <v>1.8149999999999999</v>
      </c>
      <c r="I426" s="15">
        <f>'Fiscal Forecasts'!I$174</f>
        <v>1.8879999999999999</v>
      </c>
      <c r="J426" s="15">
        <f>'Fiscal Forecasts'!J$174</f>
        <v>1.958</v>
      </c>
      <c r="K426" s="15">
        <f>'Fiscal Forecasts'!K$174</f>
        <v>1.8759999999999999</v>
      </c>
      <c r="L426" s="6">
        <f ca="1">(K$426/K$13+ IF(L$2&gt;0,L$2*IF(L$6=OFFSET(Assumptions!$B$8,0,$C$1),SUMPRODUCT(OFFSET(K$426,0,0,1,-OFFSET(Assumptions!$B$84,0,$C$1)),OFFSET(K$15,0,0,1,-OFFSET(Assumptions!$B$84,0,$C$1)))/OFFSET(Assumptions!$B$84,0,$C$1)-K$426/K$13,(K$426/K$13-J$426/J$13)/K$2),0))*L$13</f>
        <v>2.0056365977032073</v>
      </c>
      <c r="M426" s="6">
        <f ca="1">(L$426/L$13+ IF(M$2&gt;0,M$2*IF(M$6=OFFSET(Assumptions!$B$8,0,$C$1),SUMPRODUCT(OFFSET(L$426,0,0,1,-OFFSET(Assumptions!$B$84,0,$C$1)),OFFSET(L$15,0,0,1,-OFFSET(Assumptions!$B$84,0,$C$1)))/OFFSET(Assumptions!$B$84,0,$C$1)-L$426/L$13,(L$426/L$13-K$426/K$13)/L$2),0))*M$13</f>
        <v>2.1319307461339796</v>
      </c>
      <c r="N426" s="6">
        <f ca="1">(M$426/M$13+ IF(N$2&gt;0,N$2*IF(N$6=OFFSET(Assumptions!$B$8,0,$C$1),SUMPRODUCT(OFFSET(M$426,0,0,1,-OFFSET(Assumptions!$B$84,0,$C$1)),OFFSET(M$15,0,0,1,-OFFSET(Assumptions!$B$84,0,$C$1)))/OFFSET(Assumptions!$B$84,0,$C$1)-M$426/M$13,(M$426/M$13-L$426/L$13)/M$2),0))*N$13</f>
        <v>2.2542244172012058</v>
      </c>
      <c r="O426" s="6">
        <f ca="1">(N$426/N$13+ IF(O$2&gt;0,O$2*IF(O$6=OFFSET(Assumptions!$B$8,0,$C$1),SUMPRODUCT(OFFSET(N$426,0,0,1,-OFFSET(Assumptions!$B$84,0,$C$1)),OFFSET(N$15,0,0,1,-OFFSET(Assumptions!$B$84,0,$C$1)))/OFFSET(Assumptions!$B$84,0,$C$1)-N$426/N$13,(N$426/N$13-M$426/M$13)/N$2),0))*O$13</f>
        <v>2.3718415533244537</v>
      </c>
      <c r="P426" s="6">
        <f ca="1">(O$426/O$13+ IF(P$2&gt;0,P$2*IF(P$6=OFFSET(Assumptions!$B$8,0,$C$1),SUMPRODUCT(OFFSET(O$426,0,0,1,-OFFSET(Assumptions!$B$84,0,$C$1)),OFFSET(O$15,0,0,1,-OFFSET(Assumptions!$B$84,0,$C$1)))/OFFSET(Assumptions!$B$84,0,$C$1)-O$426/O$13,(O$426/O$13-N$426/N$13)/O$2),0))*P$13</f>
        <v>2.4845449732310536</v>
      </c>
      <c r="Q426" s="6">
        <f ca="1">(P$426/P$13+ IF(Q$2&gt;0,Q$2*IF(Q$6=OFFSET(Assumptions!$B$8,0,$C$1),SUMPRODUCT(OFFSET(P$426,0,0,1,-OFFSET(Assumptions!$B$84,0,$C$1)),OFFSET(P$15,0,0,1,-OFFSET(Assumptions!$B$84,0,$C$1)))/OFFSET(Assumptions!$B$84,0,$C$1)-P$426/P$13,(P$426/P$13-O$426/O$13)/P$2),0))*Q$13</f>
        <v>2.5913047843605757</v>
      </c>
      <c r="R426" s="6">
        <f ca="1">(Q$426/Q$13+ IF(R$2&gt;0,R$2*IF(R$6=OFFSET(Assumptions!$B$8,0,$C$1),SUMPRODUCT(OFFSET(Q$426,0,0,1,-OFFSET(Assumptions!$B$84,0,$C$1)),OFFSET(Q$15,0,0,1,-OFFSET(Assumptions!$B$84,0,$C$1)))/OFFSET(Assumptions!$B$84,0,$C$1)-Q$426/Q$13,(Q$426/Q$13-P$426/P$13)/Q$2),0))*R$13</f>
        <v>2.7014348699758712</v>
      </c>
      <c r="S426" s="6">
        <f ca="1">(R$426/R$13+ IF(S$2&gt;0,S$2*IF(S$6=OFFSET(Assumptions!$B$8,0,$C$1),SUMPRODUCT(OFFSET(R$426,0,0,1,-OFFSET(Assumptions!$B$84,0,$C$1)),OFFSET(R$15,0,0,1,-OFFSET(Assumptions!$B$84,0,$C$1)))/OFFSET(Assumptions!$B$84,0,$C$1)-R$426/R$13,(R$426/R$13-Q$426/Q$13)/R$2),0))*S$13</f>
        <v>2.8152632287421748</v>
      </c>
      <c r="T426" s="6">
        <f ca="1">(S$426/S$13+ IF(T$2&gt;0,T$2*IF(T$6=OFFSET(Assumptions!$B$8,0,$C$1),SUMPRODUCT(OFFSET(S$426,0,0,1,-OFFSET(Assumptions!$B$84,0,$C$1)),OFFSET(S$15,0,0,1,-OFFSET(Assumptions!$B$84,0,$C$1)))/OFFSET(Assumptions!$B$84,0,$C$1)-S$426/S$13,(S$426/S$13-R$426/R$13)/S$2),0))*T$13</f>
        <v>2.9328934420836061</v>
      </c>
      <c r="U426" s="6">
        <f ca="1">(T$426/T$13+ IF(U$2&gt;0,U$2*IF(U$6=OFFSET(Assumptions!$B$8,0,$C$1),SUMPRODUCT(OFFSET(T$426,0,0,1,-OFFSET(Assumptions!$B$84,0,$C$1)),OFFSET(T$15,0,0,1,-OFFSET(Assumptions!$B$84,0,$C$1)))/OFFSET(Assumptions!$B$84,0,$C$1)-T$426/T$13,(T$426/T$13-S$426/S$13)/T$2),0))*U$13</f>
        <v>3.0546810992345557</v>
      </c>
    </row>
    <row r="427" spans="1:21" x14ac:dyDescent="0.2">
      <c r="A427" s="1" t="s">
        <v>272</v>
      </c>
      <c r="B427" s="4" t="str">
        <f>$B$37</f>
        <v>From Fiscal</v>
      </c>
      <c r="D427" s="14">
        <f>'Fiscal Forecasts'!D$336</f>
        <v>0.60699999999999998</v>
      </c>
      <c r="E427" s="14">
        <f>'Fiscal Forecasts'!E$336</f>
        <v>0.54400000000000004</v>
      </c>
      <c r="F427" s="14">
        <f>'Fiscal Forecasts'!F$336</f>
        <v>0.57199999999999995</v>
      </c>
      <c r="G427" s="15">
        <f>'Fiscal Forecasts'!G$336</f>
        <v>0.56499999999999995</v>
      </c>
      <c r="H427" s="15">
        <f>'Fiscal Forecasts'!H$336</f>
        <v>0.60199999999999998</v>
      </c>
      <c r="I427" s="15">
        <f>'Fiscal Forecasts'!I$336</f>
        <v>0.61599999999999999</v>
      </c>
      <c r="J427" s="15">
        <f>'Fiscal Forecasts'!J$336</f>
        <v>0.59599999999999997</v>
      </c>
      <c r="K427" s="15">
        <f>'Fiscal Forecasts'!K$336</f>
        <v>0.58099999999999996</v>
      </c>
      <c r="L427" s="6">
        <f ca="1">(K$427/K$13+ IF(L$2&gt;0,L$2*IF(L$6=OFFSET(Assumptions!$B$8,0,$C$1),SUMPRODUCT(OFFSET(K$427,0,0,1,-OFFSET(Assumptions!$B$84,0,$C$1)),OFFSET(K$15,0,0,1,-OFFSET(Assumptions!$B$84,0,$C$1)))/OFFSET(Assumptions!$B$84,0,$C$1)-K$427/K$13,(K$427/K$13-J$427/J$13)/K$2),0))*L$13</f>
        <v>0.62386308930634127</v>
      </c>
      <c r="M427" s="6">
        <f ca="1">(L$427/L$13+ IF(M$2&gt;0,M$2*IF(M$6=OFFSET(Assumptions!$B$8,0,$C$1),SUMPRODUCT(OFFSET(L$427,0,0,1,-OFFSET(Assumptions!$B$84,0,$C$1)),OFFSET(L$15,0,0,1,-OFFSET(Assumptions!$B$84,0,$C$1)))/OFFSET(Assumptions!$B$84,0,$C$1)-L$427/L$13,(L$427/L$13-K$427/K$13)/L$2),0))*M$13</f>
        <v>0.66537091027292972</v>
      </c>
      <c r="N427" s="6">
        <f ca="1">(M$427/M$13+ IF(N$2&gt;0,N$2*IF(N$6=OFFSET(Assumptions!$B$8,0,$C$1),SUMPRODUCT(OFFSET(M$427,0,0,1,-OFFSET(Assumptions!$B$84,0,$C$1)),OFFSET(M$15,0,0,1,-OFFSET(Assumptions!$B$84,0,$C$1)))/OFFSET(Assumptions!$B$84,0,$C$1)-M$427/M$13,(M$427/M$13-L$427/L$13)/M$2),0))*N$13</f>
        <v>0.70525188604083833</v>
      </c>
      <c r="O427" s="6">
        <f ca="1">(N$427/N$13+ IF(O$2&gt;0,O$2*IF(O$6=OFFSET(Assumptions!$B$8,0,$C$1),SUMPRODUCT(OFFSET(N$427,0,0,1,-OFFSET(Assumptions!$B$84,0,$C$1)),OFFSET(N$15,0,0,1,-OFFSET(Assumptions!$B$84,0,$C$1)))/OFFSET(Assumptions!$B$84,0,$C$1)-N$427/N$13,(N$427/N$13-M$427/M$13)/N$2),0))*O$13</f>
        <v>0.74322712995927609</v>
      </c>
      <c r="P427" s="6">
        <f ca="1">(O$427/O$13+ IF(P$2&gt;0,P$2*IF(P$6=OFFSET(Assumptions!$B$8,0,$C$1),SUMPRODUCT(OFFSET(O$427,0,0,1,-OFFSET(Assumptions!$B$84,0,$C$1)),OFFSET(O$15,0,0,1,-OFFSET(Assumptions!$B$84,0,$C$1)))/OFFSET(Assumptions!$B$84,0,$C$1)-O$427/O$13,(O$427/O$13-N$427/N$13)/O$2),0))*P$13</f>
        <v>0.779152748776899</v>
      </c>
      <c r="Q427" s="6">
        <f ca="1">(P$427/P$13+ IF(Q$2&gt;0,Q$2*IF(Q$6=OFFSET(Assumptions!$B$8,0,$C$1),SUMPRODUCT(OFFSET(P$427,0,0,1,-OFFSET(Assumptions!$B$84,0,$C$1)),OFFSET(P$15,0,0,1,-OFFSET(Assumptions!$B$84,0,$C$1)))/OFFSET(Assumptions!$B$84,0,$C$1)-P$427/P$13,(P$427/P$13-O$427/O$13)/P$2),0))*Q$13</f>
        <v>0.81263260170638507</v>
      </c>
      <c r="R427" s="6">
        <f ca="1">(Q$427/Q$13+ IF(R$2&gt;0,R$2*IF(R$6=OFFSET(Assumptions!$B$8,0,$C$1),SUMPRODUCT(OFFSET(Q$427,0,0,1,-OFFSET(Assumptions!$B$84,0,$C$1)),OFFSET(Q$15,0,0,1,-OFFSET(Assumptions!$B$84,0,$C$1)))/OFFSET(Assumptions!$B$84,0,$C$1)-Q$427/Q$13,(Q$427/Q$13-P$427/P$13)/Q$2),0))*R$13</f>
        <v>0.84716937196198749</v>
      </c>
      <c r="S427" s="6">
        <f ca="1">(R$427/R$13+ IF(S$2&gt;0,S$2*IF(S$6=OFFSET(Assumptions!$B$8,0,$C$1),SUMPRODUCT(OFFSET(R$427,0,0,1,-OFFSET(Assumptions!$B$84,0,$C$1)),OFFSET(R$15,0,0,1,-OFFSET(Assumptions!$B$84,0,$C$1)))/OFFSET(Assumptions!$B$84,0,$C$1)-R$427/R$13,(R$427/R$13-Q$427/Q$13)/R$2),0))*S$13</f>
        <v>0.88286591985187779</v>
      </c>
      <c r="T427" s="6">
        <f ca="1">(S$427/S$13+ IF(T$2&gt;0,T$2*IF(T$6=OFFSET(Assumptions!$B$8,0,$C$1),SUMPRODUCT(OFFSET(S$427,0,0,1,-OFFSET(Assumptions!$B$84,0,$C$1)),OFFSET(S$15,0,0,1,-OFFSET(Assumptions!$B$84,0,$C$1)))/OFFSET(Assumptions!$B$84,0,$C$1)-S$427/S$13,(S$427/S$13-R$427/R$13)/S$2),0))*T$13</f>
        <v>0.91975472848752882</v>
      </c>
      <c r="U427" s="6">
        <f ca="1">(T$427/T$13+ IF(U$2&gt;0,U$2*IF(U$6=OFFSET(Assumptions!$B$8,0,$C$1),SUMPRODUCT(OFFSET(T$427,0,0,1,-OFFSET(Assumptions!$B$84,0,$C$1)),OFFSET(T$15,0,0,1,-OFFSET(Assumptions!$B$84,0,$C$1)))/OFFSET(Assumptions!$B$84,0,$C$1)-T$427/T$13,(T$427/T$13-S$427/S$13)/T$2),0))*U$13</f>
        <v>0.9579473105734384</v>
      </c>
    </row>
    <row r="428" spans="1:21" x14ac:dyDescent="0.2">
      <c r="A428" s="1" t="s">
        <v>483</v>
      </c>
      <c r="B428" s="4" t="str">
        <f>$B$37</f>
        <v>From Fiscal</v>
      </c>
      <c r="D428" s="14">
        <f>SUM('Fiscal Forecasts'!D$337:D$338)</f>
        <v>1.21</v>
      </c>
      <c r="E428" s="14">
        <f>SUM('Fiscal Forecasts'!E$337:E$338)</f>
        <v>1.3009999999999999</v>
      </c>
      <c r="F428" s="14">
        <f>SUM('Fiscal Forecasts'!F$337:F$338)</f>
        <v>1.5029999999999999</v>
      </c>
      <c r="G428" s="15">
        <f>SUM('Fiscal Forecasts'!G$337:G$338)</f>
        <v>1.5510000000000002</v>
      </c>
      <c r="H428" s="15">
        <f>SUM('Fiscal Forecasts'!H$337:H$338)</f>
        <v>1.5629999999999999</v>
      </c>
      <c r="I428" s="15">
        <f>SUM('Fiscal Forecasts'!I$337:I$338)</f>
        <v>1.5720000000000001</v>
      </c>
      <c r="J428" s="15">
        <f>SUM('Fiscal Forecasts'!J$337:J$338)</f>
        <v>1.603</v>
      </c>
      <c r="K428" s="15">
        <f>SUM('Fiscal Forecasts'!K$337:K$338)</f>
        <v>1.6179999999999999</v>
      </c>
      <c r="L428" s="6">
        <f ca="1">(K$428/K$13+ IF(L$2&gt;0,L$2*IF(L$6=OFFSET(Assumptions!$B$8,0,$C$1),SUMPRODUCT(OFFSET(K$428,0,0,1,-OFFSET(Assumptions!$B$84,0,$C$1)),OFFSET(K$15,0,0,1,-OFFSET(Assumptions!$B$84,0,$C$1)))/OFFSET(Assumptions!$B$84,0,$C$1)-K$428/K$13,(K$428/K$13-J$428/J$13)/K$2),0))*L$13</f>
        <v>1.7122221020934671</v>
      </c>
      <c r="M428" s="6">
        <f ca="1">(L$428/L$13+ IF(M$2&gt;0,M$2*IF(M$6=OFFSET(Assumptions!$B$8,0,$C$1),SUMPRODUCT(OFFSET(L$428,0,0,1,-OFFSET(Assumptions!$B$84,0,$C$1)),OFFSET(L$15,0,0,1,-OFFSET(Assumptions!$B$84,0,$C$1)))/OFFSET(Assumptions!$B$84,0,$C$1)-L$428/L$13,(L$428/L$13-K$428/K$13)/L$2),0))*M$13</f>
        <v>1.8056353015932753</v>
      </c>
      <c r="N428" s="6">
        <f ca="1">(M$428/M$13+ IF(N$2&gt;0,N$2*IF(N$6=OFFSET(Assumptions!$B$8,0,$C$1),SUMPRODUCT(OFFSET(M$428,0,0,1,-OFFSET(Assumptions!$B$84,0,$C$1)),OFFSET(M$15,0,0,1,-OFFSET(Assumptions!$B$84,0,$C$1)))/OFFSET(Assumptions!$B$84,0,$C$1)-M$428/M$13,(M$428/M$13-L$428/L$13)/M$2),0))*N$13</f>
        <v>1.8981112216510165</v>
      </c>
      <c r="O428" s="6">
        <f ca="1">(N$428/N$13+ IF(O$2&gt;0,O$2*IF(O$6=OFFSET(Assumptions!$B$8,0,$C$1),SUMPRODUCT(OFFSET(N$428,0,0,1,-OFFSET(Assumptions!$B$84,0,$C$1)),OFFSET(N$15,0,0,1,-OFFSET(Assumptions!$B$84,0,$C$1)))/OFFSET(Assumptions!$B$84,0,$C$1)-N$428/N$13,(N$428/N$13-M$428/M$13)/N$2),0))*O$13</f>
        <v>1.9895171178805882</v>
      </c>
      <c r="P428" s="6">
        <f ca="1">(O$428/O$13+ IF(P$2&gt;0,P$2*IF(P$6=OFFSET(Assumptions!$B$8,0,$C$1),SUMPRODUCT(OFFSET(O$428,0,0,1,-OFFSET(Assumptions!$B$84,0,$C$1)),OFFSET(O$15,0,0,1,-OFFSET(Assumptions!$B$84,0,$C$1)))/OFFSET(Assumptions!$B$84,0,$C$1)-O$428/O$13,(O$428/O$13-N$428/N$13)/O$2),0))*P$13</f>
        <v>2.0801047723615054</v>
      </c>
      <c r="Q428" s="6">
        <f ca="1">(P$428/P$13+ IF(Q$2&gt;0,Q$2*IF(Q$6=OFFSET(Assumptions!$B$8,0,$C$1),SUMPRODUCT(OFFSET(P$428,0,0,1,-OFFSET(Assumptions!$B$84,0,$C$1)),OFFSET(P$15,0,0,1,-OFFSET(Assumptions!$B$84,0,$C$1)))/OFFSET(Assumptions!$B$84,0,$C$1)-P$428/P$13,(P$428/P$13-O$428/O$13)/P$2),0))*Q$13</f>
        <v>2.1694859649016172</v>
      </c>
      <c r="R428" s="6">
        <f ca="1">(Q$428/Q$13+ IF(R$2&gt;0,R$2*IF(R$6=OFFSET(Assumptions!$B$8,0,$C$1),SUMPRODUCT(OFFSET(Q$428,0,0,1,-OFFSET(Assumptions!$B$84,0,$C$1)),OFFSET(Q$15,0,0,1,-OFFSET(Assumptions!$B$84,0,$C$1)))/OFFSET(Assumptions!$B$84,0,$C$1)-Q$428/Q$13,(Q$428/Q$13-P$428/P$13)/Q$2),0))*R$13</f>
        <v>2.2616888105482569</v>
      </c>
      <c r="S428" s="6">
        <f ca="1">(R$428/R$13+ IF(S$2&gt;0,S$2*IF(S$6=OFFSET(Assumptions!$B$8,0,$C$1),SUMPRODUCT(OFFSET(R$428,0,0,1,-OFFSET(Assumptions!$B$84,0,$C$1)),OFFSET(R$15,0,0,1,-OFFSET(Assumptions!$B$84,0,$C$1)))/OFFSET(Assumptions!$B$84,0,$C$1)-R$428/R$13,(R$428/R$13-Q$428/Q$13)/R$2),0))*S$13</f>
        <v>2.3569879155557825</v>
      </c>
      <c r="T428" s="6">
        <f ca="1">(S$428/S$13+ IF(T$2&gt;0,T$2*IF(T$6=OFFSET(Assumptions!$B$8,0,$C$1),SUMPRODUCT(OFFSET(S$428,0,0,1,-OFFSET(Assumptions!$B$84,0,$C$1)),OFFSET(S$15,0,0,1,-OFFSET(Assumptions!$B$84,0,$C$1)))/OFFSET(Assumptions!$B$84,0,$C$1)-S$428/S$13,(S$428/S$13-R$428/R$13)/S$2),0))*T$13</f>
        <v>2.4554700001151986</v>
      </c>
      <c r="U428" s="6">
        <f ca="1">(T$428/T$13+ IF(U$2&gt;0,U$2*IF(U$6=OFFSET(Assumptions!$B$8,0,$C$1),SUMPRODUCT(OFFSET(T$428,0,0,1,-OFFSET(Assumptions!$B$84,0,$C$1)),OFFSET(T$15,0,0,1,-OFFSET(Assumptions!$B$84,0,$C$1)))/OFFSET(Assumptions!$B$84,0,$C$1)-T$428/T$13,(T$428/T$13-S$428/S$13)/T$2),0))*U$13</f>
        <v>2.557432769790875</v>
      </c>
    </row>
    <row r="429" spans="1:21" ht="15" x14ac:dyDescent="0.25">
      <c r="A429" s="2" t="s">
        <v>606</v>
      </c>
      <c r="B429" s="4"/>
      <c r="D429" s="34">
        <f t="shared" ref="D429:U429" si="201">SUM(D$426:D$428)</f>
        <v>3.056</v>
      </c>
      <c r="E429" s="34">
        <f t="shared" si="201"/>
        <v>3.1959999999999997</v>
      </c>
      <c r="F429" s="34">
        <f t="shared" si="201"/>
        <v>3.5529999999999999</v>
      </c>
      <c r="G429" s="33">
        <f t="shared" si="201"/>
        <v>3.8079999999999998</v>
      </c>
      <c r="H429" s="33">
        <f t="shared" si="201"/>
        <v>3.9799999999999995</v>
      </c>
      <c r="I429" s="33">
        <f t="shared" si="201"/>
        <v>4.0760000000000005</v>
      </c>
      <c r="J429" s="33">
        <f t="shared" si="201"/>
        <v>4.157</v>
      </c>
      <c r="K429" s="33">
        <f t="shared" si="201"/>
        <v>4.0749999999999993</v>
      </c>
      <c r="L429" s="37">
        <f t="shared" ca="1" si="201"/>
        <v>4.3417217891030155</v>
      </c>
      <c r="M429" s="37">
        <f t="shared" ca="1" si="201"/>
        <v>4.6029369580001847</v>
      </c>
      <c r="N429" s="37">
        <f t="shared" ca="1" si="201"/>
        <v>4.8575875248930611</v>
      </c>
      <c r="O429" s="37">
        <f t="shared" ca="1" si="201"/>
        <v>5.1045858011643181</v>
      </c>
      <c r="P429" s="37">
        <f t="shared" ca="1" si="201"/>
        <v>5.3438024943694575</v>
      </c>
      <c r="Q429" s="37">
        <f t="shared" ca="1" si="201"/>
        <v>5.5734233509685778</v>
      </c>
      <c r="R429" s="37">
        <f t="shared" ca="1" si="201"/>
        <v>5.8102930524861156</v>
      </c>
      <c r="S429" s="37">
        <f t="shared" ca="1" si="201"/>
        <v>6.0551170641498349</v>
      </c>
      <c r="T429" s="37">
        <f t="shared" ca="1" si="201"/>
        <v>6.308118170686333</v>
      </c>
      <c r="U429" s="37">
        <f t="shared" ca="1" si="201"/>
        <v>6.570061179598869</v>
      </c>
    </row>
    <row r="430" spans="1:21" ht="15" x14ac:dyDescent="0.25">
      <c r="A430" s="2"/>
      <c r="B430" s="4"/>
      <c r="D430" s="46"/>
      <c r="E430" s="46"/>
      <c r="F430" s="46"/>
      <c r="G430" s="47"/>
      <c r="H430" s="47"/>
      <c r="I430" s="47"/>
      <c r="J430" s="47"/>
      <c r="K430" s="47"/>
      <c r="L430" s="48"/>
      <c r="M430" s="48"/>
      <c r="N430" s="48"/>
      <c r="O430" s="48"/>
      <c r="P430" s="48"/>
      <c r="Q430" s="48"/>
      <c r="R430" s="48"/>
      <c r="S430" s="48"/>
      <c r="T430" s="48"/>
      <c r="U430" s="48"/>
    </row>
    <row r="431" spans="1:21" ht="15" x14ac:dyDescent="0.25">
      <c r="A431" s="18" t="s">
        <v>324</v>
      </c>
      <c r="B431" s="4"/>
      <c r="D431" s="46"/>
      <c r="E431" s="46"/>
      <c r="F431" s="46"/>
      <c r="G431" s="47"/>
      <c r="H431" s="47"/>
      <c r="I431" s="47"/>
      <c r="J431" s="47"/>
      <c r="K431" s="47"/>
    </row>
    <row r="432" spans="1:21" x14ac:dyDescent="0.2">
      <c r="A432" s="1" t="s">
        <v>319</v>
      </c>
      <c r="B432" s="4" t="str">
        <f t="shared" ref="B432:B437" si="202">$B$37</f>
        <v>From Fiscal</v>
      </c>
      <c r="D432" s="14">
        <f>'Fiscal Forecasts'!D$276</f>
        <v>0</v>
      </c>
      <c r="E432" s="14">
        <f>'Fiscal Forecasts'!E$276</f>
        <v>0</v>
      </c>
      <c r="F432" s="14">
        <f>'Fiscal Forecasts'!F$276</f>
        <v>0</v>
      </c>
      <c r="G432" s="15">
        <f>'Fiscal Forecasts'!G$276</f>
        <v>0.185</v>
      </c>
      <c r="H432" s="15">
        <f>'Fiscal Forecasts'!H$276</f>
        <v>1.1479999999999999</v>
      </c>
      <c r="I432" s="15">
        <f>'Fiscal Forecasts'!I$276</f>
        <v>0.442</v>
      </c>
      <c r="J432" s="15">
        <f>'Fiscal Forecasts'!J$276</f>
        <v>0.27500000000000002</v>
      </c>
      <c r="K432" s="15">
        <f>'Fiscal Forecasts'!K$276</f>
        <v>3.2000000000000001E-2</v>
      </c>
      <c r="L432" s="6">
        <f ca="1">IF(L$6=OFFSET(Assumptions!$B$8,0,$C$1),OFFSET(L$440,0,-6)-SUM(OFFSET(L$432,0,-5,1,5)),0)</f>
        <v>0</v>
      </c>
      <c r="M432" s="6">
        <f ca="1">IF(M$6=OFFSET(Assumptions!$B$8,0,$C$1),OFFSET(M$440,0,-6)-SUM(OFFSET(M$432,0,-5,1,5)),0)</f>
        <v>0</v>
      </c>
      <c r="N432" s="6">
        <f ca="1">IF(N$6=OFFSET(Assumptions!$B$8,0,$C$1),OFFSET(N$440,0,-6)-SUM(OFFSET(N$432,0,-5,1,5)),0)</f>
        <v>0</v>
      </c>
      <c r="O432" s="6">
        <f ca="1">IF(O$6=OFFSET(Assumptions!$B$8,0,$C$1),OFFSET(O$440,0,-6)-SUM(OFFSET(O$432,0,-5,1,5)),0)</f>
        <v>0</v>
      </c>
      <c r="P432" s="6">
        <f ca="1">IF(P$6=OFFSET(Assumptions!$B$8,0,$C$1),OFFSET(P$440,0,-6)-SUM(OFFSET(P$432,0,-5,1,5)),0)</f>
        <v>0</v>
      </c>
      <c r="Q432" s="6">
        <f ca="1">IF(Q$6=OFFSET(Assumptions!$B$8,0,$C$1),OFFSET(Q$440,0,-6)-SUM(OFFSET(Q$432,0,-5,1,5)),0)</f>
        <v>0</v>
      </c>
      <c r="R432" s="6">
        <f ca="1">IF(R$6=OFFSET(Assumptions!$B$8,0,$C$1),OFFSET(R$440,0,-6)-SUM(OFFSET(R$432,0,-5,1,5)),0)</f>
        <v>0</v>
      </c>
      <c r="S432" s="6">
        <f ca="1">IF(S$6=OFFSET(Assumptions!$B$8,0,$C$1),OFFSET(S$440,0,-6)-SUM(OFFSET(S$432,0,-5,1,5)),0)</f>
        <v>0</v>
      </c>
      <c r="T432" s="6">
        <f ca="1">IF(T$6=OFFSET(Assumptions!$B$8,0,$C$1),OFFSET(T$440,0,-6)-SUM(OFFSET(T$432,0,-5,1,5)),0)</f>
        <v>0</v>
      </c>
      <c r="U432" s="6">
        <f ca="1">IF(U$6=OFFSET(Assumptions!$B$8,0,$C$1),OFFSET(U$440,0,-6)-SUM(OFFSET(U$432,0,-5,1,5)),0)</f>
        <v>0</v>
      </c>
    </row>
    <row r="433" spans="1:21" x14ac:dyDescent="0.2">
      <c r="A433" s="1" t="s">
        <v>607</v>
      </c>
      <c r="B433" s="4" t="str">
        <f t="shared" si="202"/>
        <v>From Fiscal</v>
      </c>
      <c r="D433" s="14">
        <f>'Fiscal Forecasts'!D$277</f>
        <v>0</v>
      </c>
      <c r="E433" s="14">
        <f>'Fiscal Forecasts'!E$277</f>
        <v>0</v>
      </c>
      <c r="F433" s="14">
        <f>'Fiscal Forecasts'!F$277</f>
        <v>0</v>
      </c>
      <c r="G433" s="15">
        <f>'Fiscal Forecasts'!G$277</f>
        <v>0</v>
      </c>
      <c r="H433" s="15">
        <f>'Fiscal Forecasts'!H$277</f>
        <v>0</v>
      </c>
      <c r="I433" s="15">
        <f>'Fiscal Forecasts'!I$277</f>
        <v>0</v>
      </c>
      <c r="J433" s="15">
        <f>'Fiscal Forecasts'!J$277</f>
        <v>0</v>
      </c>
      <c r="K433" s="15">
        <f>'Fiscal Forecasts'!K$277</f>
        <v>0</v>
      </c>
      <c r="L433" s="6">
        <f ca="1">IF(L$6=OFFSET(Assumptions!$B$8,0,$C$1),OFFSET(L$440,0,-5)-SUM(OFFSET(L$433,0,-5,1,5)),0)</f>
        <v>0</v>
      </c>
      <c r="M433" s="6">
        <f ca="1">IF(M$6=OFFSET(Assumptions!$B$8,0,$C$1),OFFSET(M$440,0,-5)-SUM(OFFSET(M$433,0,-5,1,5)),0)</f>
        <v>0</v>
      </c>
      <c r="N433" s="6">
        <f ca="1">IF(N$6=OFFSET(Assumptions!$B$8,0,$C$1),OFFSET(N$440,0,-5)-SUM(OFFSET(N$433,0,-5,1,5)),0)</f>
        <v>0</v>
      </c>
      <c r="O433" s="6">
        <f ca="1">IF(O$6=OFFSET(Assumptions!$B$8,0,$C$1),OFFSET(O$440,0,-5)-SUM(OFFSET(O$433,0,-5,1,5)),0)</f>
        <v>0</v>
      </c>
      <c r="P433" s="6">
        <f ca="1">IF(P$6=OFFSET(Assumptions!$B$8,0,$C$1),OFFSET(P$440,0,-5)-SUM(OFFSET(P$433,0,-5,1,5)),0)</f>
        <v>0</v>
      </c>
      <c r="Q433" s="6">
        <f ca="1">IF(Q$6=OFFSET(Assumptions!$B$8,0,$C$1),OFFSET(Q$440,0,-5)-SUM(OFFSET(Q$433,0,-5,1,5)),0)</f>
        <v>0</v>
      </c>
      <c r="R433" s="6">
        <f ca="1">IF(R$6=OFFSET(Assumptions!$B$8,0,$C$1),OFFSET(R$440,0,-5)-SUM(OFFSET(R$433,0,-5,1,5)),0)</f>
        <v>0</v>
      </c>
      <c r="S433" s="6">
        <f ca="1">IF(S$6=OFFSET(Assumptions!$B$8,0,$C$1),OFFSET(S$440,0,-5)-SUM(OFFSET(S$433,0,-5,1,5)),0)</f>
        <v>0</v>
      </c>
      <c r="T433" s="6">
        <f ca="1">IF(T$6=OFFSET(Assumptions!$B$8,0,$C$1),OFFSET(T$440,0,-5)-SUM(OFFSET(T$433,0,-5,1,5)),0)</f>
        <v>0</v>
      </c>
      <c r="U433" s="6">
        <f ca="1">IF(U$6=OFFSET(Assumptions!$B$8,0,$C$1),OFFSET(U$440,0,-5)-SUM(OFFSET(U$433,0,-5,1,5)),0)</f>
        <v>0</v>
      </c>
    </row>
    <row r="434" spans="1:21" x14ac:dyDescent="0.2">
      <c r="A434" s="1" t="s">
        <v>608</v>
      </c>
      <c r="B434" s="4" t="str">
        <f t="shared" si="202"/>
        <v>From Fiscal</v>
      </c>
      <c r="D434" s="14">
        <f>'Fiscal Forecasts'!D$278</f>
        <v>0</v>
      </c>
      <c r="E434" s="14">
        <f>'Fiscal Forecasts'!E$278</f>
        <v>0</v>
      </c>
      <c r="F434" s="14">
        <f>'Fiscal Forecasts'!F$278</f>
        <v>0</v>
      </c>
      <c r="G434" s="15">
        <f>'Fiscal Forecasts'!G$278</f>
        <v>0</v>
      </c>
      <c r="H434" s="15">
        <f>'Fiscal Forecasts'!H$278</f>
        <v>0.11899999999999999</v>
      </c>
      <c r="I434" s="15">
        <f>'Fiscal Forecasts'!I$278</f>
        <v>0.98099999999999998</v>
      </c>
      <c r="J434" s="15">
        <f>'Fiscal Forecasts'!J$278</f>
        <v>0.98099999999999998</v>
      </c>
      <c r="K434" s="15">
        <f>'Fiscal Forecasts'!K$278</f>
        <v>0.59499999999999997</v>
      </c>
      <c r="L434" s="6">
        <f ca="1">IF(L$6=OFFSET(Assumptions!$B$8,0,$C$1),OFFSET(L$440,0,-4)-SUM(OFFSET(L$434,0,-5,1,5)),0)</f>
        <v>0.29699999999999971</v>
      </c>
      <c r="M434" s="6">
        <f ca="1">IF(M$6=OFFSET(Assumptions!$B$8,0,$C$1),OFFSET(M$440,0,-4)-SUM(OFFSET(M$434,0,-5,1,5)),0)</f>
        <v>0</v>
      </c>
      <c r="N434" s="6">
        <f ca="1">IF(N$6=OFFSET(Assumptions!$B$8,0,$C$1),OFFSET(N$440,0,-4)-SUM(OFFSET(N$434,0,-5,1,5)),0)</f>
        <v>0</v>
      </c>
      <c r="O434" s="6">
        <f ca="1">IF(O$6=OFFSET(Assumptions!$B$8,0,$C$1),OFFSET(O$440,0,-4)-SUM(OFFSET(O$434,0,-5,1,5)),0)</f>
        <v>0</v>
      </c>
      <c r="P434" s="6">
        <f ca="1">IF(P$6=OFFSET(Assumptions!$B$8,0,$C$1),OFFSET(P$440,0,-4)-SUM(OFFSET(P$434,0,-5,1,5)),0)</f>
        <v>0</v>
      </c>
      <c r="Q434" s="6">
        <f ca="1">IF(Q$6=OFFSET(Assumptions!$B$8,0,$C$1),OFFSET(Q$440,0,-4)-SUM(OFFSET(Q$434,0,-5,1,5)),0)</f>
        <v>0</v>
      </c>
      <c r="R434" s="6">
        <f ca="1">IF(R$6=OFFSET(Assumptions!$B$8,0,$C$1),OFFSET(R$440,0,-4)-SUM(OFFSET(R$434,0,-5,1,5)),0)</f>
        <v>0</v>
      </c>
      <c r="S434" s="6">
        <f ca="1">IF(S$6=OFFSET(Assumptions!$B$8,0,$C$1),OFFSET(S$440,0,-4)-SUM(OFFSET(S$434,0,-5,1,5)),0)</f>
        <v>0</v>
      </c>
      <c r="T434" s="6">
        <f ca="1">IF(T$6=OFFSET(Assumptions!$B$8,0,$C$1),OFFSET(T$440,0,-4)-SUM(OFFSET(T$434,0,-5,1,5)),0)</f>
        <v>0</v>
      </c>
      <c r="U434" s="6">
        <f ca="1">IF(U$6=OFFSET(Assumptions!$B$8,0,$C$1),OFFSET(U$440,0,-4)-SUM(OFFSET(U$434,0,-5,1,5)),0)</f>
        <v>0</v>
      </c>
    </row>
    <row r="435" spans="1:21" x14ac:dyDescent="0.2">
      <c r="A435" s="1" t="s">
        <v>609</v>
      </c>
      <c r="B435" s="4" t="str">
        <f t="shared" si="202"/>
        <v>From Fiscal</v>
      </c>
      <c r="D435" s="14">
        <f>'Fiscal Forecasts'!D$279</f>
        <v>0</v>
      </c>
      <c r="E435" s="14">
        <f>'Fiscal Forecasts'!E$279</f>
        <v>0</v>
      </c>
      <c r="F435" s="14">
        <f>'Fiscal Forecasts'!F$279</f>
        <v>0</v>
      </c>
      <c r="G435" s="15">
        <f>'Fiscal Forecasts'!G$279</f>
        <v>0</v>
      </c>
      <c r="H435" s="15">
        <f>'Fiscal Forecasts'!H$279</f>
        <v>0</v>
      </c>
      <c r="I435" s="15">
        <f>'Fiscal Forecasts'!I$279</f>
        <v>0.11899999999999999</v>
      </c>
      <c r="J435" s="15">
        <f>'Fiscal Forecasts'!J$279</f>
        <v>0.98099999999999998</v>
      </c>
      <c r="K435" s="15">
        <f>'Fiscal Forecasts'!K$279</f>
        <v>0.98099999999999998</v>
      </c>
      <c r="L435" s="6">
        <f ca="1">IF(L$6=OFFSET(Assumptions!$B$8,0,$C$1),(OFFSET(L$440,0,-3)-SUM(OFFSET(L$435,0,-5,1,5)))/2,IF(K$6=OFFSET(Assumptions!$B$8,0,$C$1),K$435,0))</f>
        <v>0.44599999999999995</v>
      </c>
      <c r="M435" s="6">
        <f ca="1">IF(M$6=OFFSET(Assumptions!$B$8,0,$C$1),(OFFSET(M$440,0,-3)-SUM(OFFSET(M$435,0,-5,1,5)))/2,IF(L$6=OFFSET(Assumptions!$B$8,0,$C$1),L$435,0))</f>
        <v>0.44599999999999995</v>
      </c>
      <c r="N435" s="6">
        <f ca="1">IF(N$6=OFFSET(Assumptions!$B$8,0,$C$1),(OFFSET(N$440,0,-3)-SUM(OFFSET(N$435,0,-5,1,5)))/2,IF(M$6=OFFSET(Assumptions!$B$8,0,$C$1),M$435,0))</f>
        <v>0</v>
      </c>
      <c r="O435" s="6">
        <f ca="1">IF(O$6=OFFSET(Assumptions!$B$8,0,$C$1),(OFFSET(O$440,0,-3)-SUM(OFFSET(O$435,0,-5,1,5)))/2,IF(N$6=OFFSET(Assumptions!$B$8,0,$C$1),N$435,0))</f>
        <v>0</v>
      </c>
      <c r="P435" s="6">
        <f ca="1">IF(P$6=OFFSET(Assumptions!$B$8,0,$C$1),(OFFSET(P$440,0,-3)-SUM(OFFSET(P$435,0,-5,1,5)))/2,IF(O$6=OFFSET(Assumptions!$B$8,0,$C$1),O$435,0))</f>
        <v>0</v>
      </c>
      <c r="Q435" s="6">
        <f ca="1">IF(Q$6=OFFSET(Assumptions!$B$8,0,$C$1),(OFFSET(Q$440,0,-3)-SUM(OFFSET(Q$435,0,-5,1,5)))/2,IF(P$6=OFFSET(Assumptions!$B$8,0,$C$1),P$435,0))</f>
        <v>0</v>
      </c>
      <c r="R435" s="6">
        <f ca="1">IF(R$6=OFFSET(Assumptions!$B$8,0,$C$1),(OFFSET(R$440,0,-3)-SUM(OFFSET(R$435,0,-5,1,5)))/2,IF(Q$6=OFFSET(Assumptions!$B$8,0,$C$1),Q$435,0))</f>
        <v>0</v>
      </c>
      <c r="S435" s="6">
        <f ca="1">IF(S$6=OFFSET(Assumptions!$B$8,0,$C$1),(OFFSET(S$440,0,-3)-SUM(OFFSET(S$435,0,-5,1,5)))/2,IF(R$6=OFFSET(Assumptions!$B$8,0,$C$1),R$435,0))</f>
        <v>0</v>
      </c>
      <c r="T435" s="6">
        <f ca="1">IF(T$6=OFFSET(Assumptions!$B$8,0,$C$1),(OFFSET(T$440,0,-3)-SUM(OFFSET(T$435,0,-5,1,5)))/2,IF(S$6=OFFSET(Assumptions!$B$8,0,$C$1),S$435,0))</f>
        <v>0</v>
      </c>
      <c r="U435" s="6">
        <f ca="1">IF(U$6=OFFSET(Assumptions!$B$8,0,$C$1),(OFFSET(U$440,0,-3)-SUM(OFFSET(U$435,0,-5,1,5)))/2,IF(T$6=OFFSET(Assumptions!$B$8,0,$C$1),T$435,0))</f>
        <v>0</v>
      </c>
    </row>
    <row r="436" spans="1:21" x14ac:dyDescent="0.2">
      <c r="A436" s="1" t="s">
        <v>610</v>
      </c>
      <c r="B436" s="4" t="str">
        <f t="shared" si="202"/>
        <v>From Fiscal</v>
      </c>
      <c r="D436" s="14">
        <f>'Fiscal Forecasts'!D$280</f>
        <v>0</v>
      </c>
      <c r="E436" s="14">
        <f>'Fiscal Forecasts'!E$280</f>
        <v>0</v>
      </c>
      <c r="F436" s="14">
        <f>'Fiscal Forecasts'!F$280</f>
        <v>0</v>
      </c>
      <c r="G436" s="15">
        <f>'Fiscal Forecasts'!G$280</f>
        <v>0</v>
      </c>
      <c r="H436" s="15">
        <f>'Fiscal Forecasts'!H$280</f>
        <v>0</v>
      </c>
      <c r="I436" s="15">
        <f>'Fiscal Forecasts'!I$280</f>
        <v>0</v>
      </c>
      <c r="J436" s="15">
        <f>'Fiscal Forecasts'!J$280</f>
        <v>0.12</v>
      </c>
      <c r="K436" s="15">
        <f>'Fiscal Forecasts'!K$280</f>
        <v>0.99</v>
      </c>
      <c r="L436" s="6">
        <f ca="1">IF(L$6=OFFSET(Assumptions!$B$8,0,$C$1),(OFFSET(L$440,0,-2)-SUM(OFFSET(L$436,0,-5,1,5)))/3,IF(OR(K$6=OFFSET(Assumptions!$B$8,0,$C$1),J$6=OFFSET(Assumptions!$B$8,0,$C$1)),K$436,0))</f>
        <v>0.63</v>
      </c>
      <c r="M436" s="6">
        <f ca="1">IF(M$6=OFFSET(Assumptions!$B$8,0,$C$1),(OFFSET(M$440,0,-2)-SUM(OFFSET(M$436,0,-5,1,5)))/3,IF(OR(L$6=OFFSET(Assumptions!$B$8,0,$C$1),K$6=OFFSET(Assumptions!$B$8,0,$C$1)),L$436,0))</f>
        <v>0.63</v>
      </c>
      <c r="N436" s="6">
        <f ca="1">IF(N$6=OFFSET(Assumptions!$B$8,0,$C$1),(OFFSET(N$440,0,-2)-SUM(OFFSET(N$436,0,-5,1,5)))/3,IF(OR(M$6=OFFSET(Assumptions!$B$8,0,$C$1),L$6=OFFSET(Assumptions!$B$8,0,$C$1)),M$436,0))</f>
        <v>0.63</v>
      </c>
      <c r="O436" s="6">
        <f ca="1">IF(O$6=OFFSET(Assumptions!$B$8,0,$C$1),(OFFSET(O$440,0,-2)-SUM(OFFSET(O$436,0,-5,1,5)))/3,IF(OR(N$6=OFFSET(Assumptions!$B$8,0,$C$1),M$6=OFFSET(Assumptions!$B$8,0,$C$1)),N$436,0))</f>
        <v>0</v>
      </c>
      <c r="P436" s="6">
        <f ca="1">IF(P$6=OFFSET(Assumptions!$B$8,0,$C$1),(OFFSET(P$440,0,-2)-SUM(OFFSET(P$436,0,-5,1,5)))/3,IF(OR(O$6=OFFSET(Assumptions!$B$8,0,$C$1),N$6=OFFSET(Assumptions!$B$8,0,$C$1)),O$436,0))</f>
        <v>0</v>
      </c>
      <c r="Q436" s="6">
        <f ca="1">IF(Q$6=OFFSET(Assumptions!$B$8,0,$C$1),(OFFSET(Q$440,0,-2)-SUM(OFFSET(Q$436,0,-5,1,5)))/3,IF(OR(P$6=OFFSET(Assumptions!$B$8,0,$C$1),O$6=OFFSET(Assumptions!$B$8,0,$C$1)),P$436,0))</f>
        <v>0</v>
      </c>
      <c r="R436" s="6">
        <f ca="1">IF(R$6=OFFSET(Assumptions!$B$8,0,$C$1),(OFFSET(R$440,0,-2)-SUM(OFFSET(R$436,0,-5,1,5)))/3,IF(OR(Q$6=OFFSET(Assumptions!$B$8,0,$C$1),P$6=OFFSET(Assumptions!$B$8,0,$C$1)),Q$436,0))</f>
        <v>0</v>
      </c>
      <c r="S436" s="6">
        <f ca="1">IF(S$6=OFFSET(Assumptions!$B$8,0,$C$1),(OFFSET(S$440,0,-2)-SUM(OFFSET(S$436,0,-5,1,5)))/3,IF(OR(R$6=OFFSET(Assumptions!$B$8,0,$C$1),Q$6=OFFSET(Assumptions!$B$8,0,$C$1)),R$436,0))</f>
        <v>0</v>
      </c>
      <c r="T436" s="6">
        <f ca="1">IF(T$6=OFFSET(Assumptions!$B$8,0,$C$1),(OFFSET(T$440,0,-2)-SUM(OFFSET(T$436,0,-5,1,5)))/3,IF(OR(S$6=OFFSET(Assumptions!$B$8,0,$C$1),R$6=OFFSET(Assumptions!$B$8,0,$C$1)),S$436,0))</f>
        <v>0</v>
      </c>
      <c r="U436" s="6">
        <f ca="1">IF(U$6=OFFSET(Assumptions!$B$8,0,$C$1),(OFFSET(U$440,0,-2)-SUM(OFFSET(U$436,0,-5,1,5)))/3,IF(OR(T$6=OFFSET(Assumptions!$B$8,0,$C$1),S$6=OFFSET(Assumptions!$B$8,0,$C$1)),T$436,0))</f>
        <v>0</v>
      </c>
    </row>
    <row r="437" spans="1:21" x14ac:dyDescent="0.2">
      <c r="A437" s="1" t="s">
        <v>611</v>
      </c>
      <c r="B437" s="4" t="str">
        <f t="shared" si="202"/>
        <v>From Fiscal</v>
      </c>
      <c r="D437" s="14">
        <f>'Fiscal Forecasts'!D$281</f>
        <v>0</v>
      </c>
      <c r="E437" s="14">
        <f>'Fiscal Forecasts'!E$281</f>
        <v>0</v>
      </c>
      <c r="F437" s="14">
        <f>'Fiscal Forecasts'!F$281</f>
        <v>0</v>
      </c>
      <c r="G437" s="15">
        <f>'Fiscal Forecasts'!G$281</f>
        <v>0</v>
      </c>
      <c r="H437" s="15">
        <f>'Fiscal Forecasts'!H$281</f>
        <v>0</v>
      </c>
      <c r="I437" s="15">
        <f>'Fiscal Forecasts'!I$281</f>
        <v>0</v>
      </c>
      <c r="J437" s="15">
        <f>'Fiscal Forecasts'!J$281</f>
        <v>0</v>
      </c>
      <c r="K437" s="15">
        <f>'Fiscal Forecasts'!K$281</f>
        <v>0.111</v>
      </c>
      <c r="L437" s="6">
        <f ca="1">IF(L$6=OFFSET(Assumptions!$B$8,0,$C$1),(OFFSET(L$440,0,-1)-SUM(OFFSET(L$437,0,-5,1,5)))/4,IF(OR(K$6=OFFSET(Assumptions!$B$8,0,$C$1),J$6=OFFSET(Assumptions!$B$8,0,$C$1),I$6=OFFSET(Assumptions!$B$8,0,$C$1)),K$437,0))</f>
        <v>0.72224999999999995</v>
      </c>
      <c r="M437" s="6">
        <f ca="1">IF(M$6=OFFSET(Assumptions!$B$8,0,$C$1),(OFFSET(M$440,0,-1)-SUM(OFFSET(M$437,0,-5,1,5)))/4,IF(OR(L$6=OFFSET(Assumptions!$B$8,0,$C$1),K$6=OFFSET(Assumptions!$B$8,0,$C$1),J$6=OFFSET(Assumptions!$B$8,0,$C$1)),L$437,0))</f>
        <v>0.72224999999999995</v>
      </c>
      <c r="N437" s="6">
        <f ca="1">IF(N$6=OFFSET(Assumptions!$B$8,0,$C$1),(OFFSET(N$440,0,-1)-SUM(OFFSET(N$437,0,-5,1,5)))/4,IF(OR(M$6=OFFSET(Assumptions!$B$8,0,$C$1),L$6=OFFSET(Assumptions!$B$8,0,$C$1),K$6=OFFSET(Assumptions!$B$8,0,$C$1)),M$437,0))</f>
        <v>0.72224999999999995</v>
      </c>
      <c r="O437" s="6">
        <f ca="1">IF(O$6=OFFSET(Assumptions!$B$8,0,$C$1),(OFFSET(O$440,0,-1)-SUM(OFFSET(O$437,0,-5,1,5)))/4,IF(OR(N$6=OFFSET(Assumptions!$B$8,0,$C$1),M$6=OFFSET(Assumptions!$B$8,0,$C$1),L$6=OFFSET(Assumptions!$B$8,0,$C$1)),N$437,0))</f>
        <v>0.72224999999999995</v>
      </c>
      <c r="P437" s="6">
        <f ca="1">IF(P$6=OFFSET(Assumptions!$B$8,0,$C$1),(OFFSET(P$440,0,-1)-SUM(OFFSET(P$437,0,-5,1,5)))/4,IF(OR(O$6=OFFSET(Assumptions!$B$8,0,$C$1),N$6=OFFSET(Assumptions!$B$8,0,$C$1),M$6=OFFSET(Assumptions!$B$8,0,$C$1)),O$437,0))</f>
        <v>0</v>
      </c>
      <c r="Q437" s="6">
        <f ca="1">IF(Q$6=OFFSET(Assumptions!$B$8,0,$C$1),(OFFSET(Q$440,0,-1)-SUM(OFFSET(Q$437,0,-5,1,5)))/4,IF(OR(P$6=OFFSET(Assumptions!$B$8,0,$C$1),O$6=OFFSET(Assumptions!$B$8,0,$C$1),N$6=OFFSET(Assumptions!$B$8,0,$C$1)),P$437,0))</f>
        <v>0</v>
      </c>
      <c r="R437" s="6">
        <f ca="1">IF(R$6=OFFSET(Assumptions!$B$8,0,$C$1),(OFFSET(R$440,0,-1)-SUM(OFFSET(R$437,0,-5,1,5)))/4,IF(OR(Q$6=OFFSET(Assumptions!$B$8,0,$C$1),P$6=OFFSET(Assumptions!$B$8,0,$C$1),O$6=OFFSET(Assumptions!$B$8,0,$C$1)),Q$437,0))</f>
        <v>0</v>
      </c>
      <c r="S437" s="6">
        <f ca="1">IF(S$6=OFFSET(Assumptions!$B$8,0,$C$1),(OFFSET(S$440,0,-1)-SUM(OFFSET(S$437,0,-5,1,5)))/4,IF(OR(R$6=OFFSET(Assumptions!$B$8,0,$C$1),Q$6=OFFSET(Assumptions!$B$8,0,$C$1),P$6=OFFSET(Assumptions!$B$8,0,$C$1)),R$437,0))</f>
        <v>0</v>
      </c>
      <c r="T437" s="6">
        <f ca="1">IF(T$6=OFFSET(Assumptions!$B$8,0,$C$1),(OFFSET(T$440,0,-1)-SUM(OFFSET(T$437,0,-5,1,5)))/4,IF(OR(S$6=OFFSET(Assumptions!$B$8,0,$C$1),R$6=OFFSET(Assumptions!$B$8,0,$C$1),Q$6=OFFSET(Assumptions!$B$8,0,$C$1)),S$437,0))</f>
        <v>0</v>
      </c>
      <c r="U437" s="6">
        <f ca="1">IF(U$6=OFFSET(Assumptions!$B$8,0,$C$1),(OFFSET(U$440,0,-1)-SUM(OFFSET(U$437,0,-5,1,5)))/4,IF(OR(T$6=OFFSET(Assumptions!$B$8,0,$C$1),S$6=OFFSET(Assumptions!$B$8,0,$C$1),R$6=OFFSET(Assumptions!$B$8,0,$C$1)),T$437,0))</f>
        <v>0</v>
      </c>
    </row>
    <row r="438" spans="1:21" ht="15" x14ac:dyDescent="0.25">
      <c r="A438" s="1" t="s">
        <v>612</v>
      </c>
      <c r="B438" s="4"/>
      <c r="C438" s="60">
        <f ca="1">OFFSET(Assumptions!$B$9,0,$C$1)</f>
        <v>0</v>
      </c>
      <c r="D438" s="14">
        <f t="shared" ref="D438:K438" ca="1" si="203">C$438</f>
        <v>0</v>
      </c>
      <c r="E438" s="14">
        <f t="shared" ca="1" si="203"/>
        <v>0</v>
      </c>
      <c r="F438" s="14">
        <f t="shared" ca="1" si="203"/>
        <v>0</v>
      </c>
      <c r="G438" s="15">
        <f t="shared" ca="1" si="203"/>
        <v>0</v>
      </c>
      <c r="H438" s="15">
        <f t="shared" ca="1" si="203"/>
        <v>0</v>
      </c>
      <c r="I438" s="15">
        <f t="shared" ca="1" si="203"/>
        <v>0</v>
      </c>
      <c r="J438" s="15">
        <f t="shared" ca="1" si="203"/>
        <v>0</v>
      </c>
      <c r="K438" s="15">
        <f t="shared" ca="1" si="203"/>
        <v>0</v>
      </c>
      <c r="L438" s="6">
        <f ca="1">IF(L$6=OFFSET(Assumptions!$B$8,0,$C$1),L$440,IF(K$6=OFFSET(Assumptions!$B$8,0,$C$1),SUM(K$440:L$440),IF(J$6=OFFSET(Assumptions!$B$8,0,$C$1),SUM(J$440:L$440),IF(I$6=OFFSET(Assumptions!$B$8,0,$C$1),SUM(I$440:L$440),SUM(H$440:L$440)))))/5</f>
        <v>1.9</v>
      </c>
      <c r="M438" s="6">
        <f ca="1">IF(M$6=OFFSET(Assumptions!$B$8,0,$C$1),M$440,IF(L$6=OFFSET(Assumptions!$B$8,0,$C$1),SUM(L$440:M$440),IF(K$6=OFFSET(Assumptions!$B$8,0,$C$1),SUM(K$440:M$440),IF(J$6=OFFSET(Assumptions!$B$8,0,$C$1),SUM(J$440:M$440),SUM(I$440:M$440)))))/5</f>
        <v>3.8854999999999995</v>
      </c>
      <c r="N438" s="6">
        <f ca="1">IF(N$6=OFFSET(Assumptions!$B$8,0,$C$1),N$440,IF(M$6=OFFSET(Assumptions!$B$8,0,$C$1),SUM(M$440:N$440),IF(L$6=OFFSET(Assumptions!$B$8,0,$C$1),SUM(L$440:N$440),IF(K$6=OFFSET(Assumptions!$B$8,0,$C$1),SUM(K$440:N$440),SUM(J$440:N$440)))))/5</f>
        <v>5.9603474999999992</v>
      </c>
      <c r="O438" s="6">
        <f ca="1">IF(O$6=OFFSET(Assumptions!$B$8,0,$C$1),O$440,IF(N$6=OFFSET(Assumptions!$B$8,0,$C$1),SUM(N$440:O$440),IF(M$6=OFFSET(Assumptions!$B$8,0,$C$1),SUM(M$440:O$440),IF(L$6=OFFSET(Assumptions!$B$8,0,$C$1),SUM(L$440:O$440),SUM(K$440:O$440)))))/5</f>
        <v>8.1285631374999987</v>
      </c>
      <c r="P438" s="6">
        <f ca="1">IF(P$6=OFFSET(Assumptions!$B$8,0,$C$1),P$440,IF(O$6=OFFSET(Assumptions!$B$8,0,$C$1),SUM(O$440:P$440),IF(N$6=OFFSET(Assumptions!$B$8,0,$C$1),SUM(N$440:P$440),IF(M$6=OFFSET(Assumptions!$B$8,0,$C$1),SUM(M$440:P$440),SUM(L$440:P$440)))))/5</f>
        <v>10.394348478687498</v>
      </c>
      <c r="Q438" s="6">
        <f ca="1">IF(Q$6=OFFSET(Assumptions!$B$8,0,$C$1),Q$440,IF(P$6=OFFSET(Assumptions!$B$8,0,$C$1),SUM(P$440:Q$440),IF(O$6=OFFSET(Assumptions!$B$8,0,$C$1),SUM(O$440:Q$440),IF(N$6=OFFSET(Assumptions!$B$8,0,$C$1),SUM(N$440:Q$440),SUM(M$440:Q$440)))))/5</f>
        <v>10.862094160228434</v>
      </c>
      <c r="R438" s="6">
        <f ca="1">IF(R$6=OFFSET(Assumptions!$B$8,0,$C$1),R$440,IF(Q$6=OFFSET(Assumptions!$B$8,0,$C$1),SUM(Q$440:R$440),IF(P$6=OFFSET(Assumptions!$B$8,0,$C$1),SUM(P$440:R$440),IF(O$6=OFFSET(Assumptions!$B$8,0,$C$1),SUM(O$440:R$440),SUM(N$440:R$440)))))/5</f>
        <v>11.350888397438714</v>
      </c>
      <c r="S438" s="6">
        <f ca="1">IF(S$6=OFFSET(Assumptions!$B$8,0,$C$1),S$440,IF(R$6=OFFSET(Assumptions!$B$8,0,$C$1),SUM(R$440:S$440),IF(Q$6=OFFSET(Assumptions!$B$8,0,$C$1),SUM(Q$440:S$440),IF(P$6=OFFSET(Assumptions!$B$8,0,$C$1),SUM(P$440:S$440),SUM(O$440:S$440)))))/5</f>
        <v>11.861678375323454</v>
      </c>
      <c r="T438" s="6">
        <f ca="1">IF(T$6=OFFSET(Assumptions!$B$8,0,$C$1),T$440,IF(S$6=OFFSET(Assumptions!$B$8,0,$C$1),SUM(S$440:T$440),IF(R$6=OFFSET(Assumptions!$B$8,0,$C$1),SUM(R$440:T$440),IF(Q$6=OFFSET(Assumptions!$B$8,0,$C$1),SUM(Q$440:T$440),SUM(P$440:T$440)))))/5</f>
        <v>12.39545390221301</v>
      </c>
      <c r="U438" s="6">
        <f ca="1">IF(U$6=OFFSET(Assumptions!$B$8,0,$C$1),U$440,IF(T$6=OFFSET(Assumptions!$B$8,0,$C$1),SUM(T$440:U$440),IF(S$6=OFFSET(Assumptions!$B$8,0,$C$1),SUM(S$440:U$440),IF(R$6=OFFSET(Assumptions!$B$8,0,$C$1),SUM(R$440:U$440),SUM(Q$440:U$440)))))/5</f>
        <v>12.953249327812594</v>
      </c>
    </row>
    <row r="439" spans="1:21" ht="15" x14ac:dyDescent="0.25">
      <c r="A439" s="2" t="s">
        <v>613</v>
      </c>
      <c r="B439" s="4"/>
      <c r="D439" s="34">
        <f t="shared" ref="D439:U439" ca="1" si="204">SUM(D$432:D$438)</f>
        <v>0</v>
      </c>
      <c r="E439" s="34">
        <f t="shared" ca="1" si="204"/>
        <v>0</v>
      </c>
      <c r="F439" s="34">
        <f t="shared" ca="1" si="204"/>
        <v>0</v>
      </c>
      <c r="G439" s="33">
        <f t="shared" ca="1" si="204"/>
        <v>0.185</v>
      </c>
      <c r="H439" s="33">
        <f t="shared" ca="1" si="204"/>
        <v>1.2669999999999999</v>
      </c>
      <c r="I439" s="33">
        <f t="shared" ca="1" si="204"/>
        <v>1.542</v>
      </c>
      <c r="J439" s="33">
        <f t="shared" ca="1" si="204"/>
        <v>2.3570000000000002</v>
      </c>
      <c r="K439" s="33">
        <f t="shared" ca="1" si="204"/>
        <v>2.7090000000000001</v>
      </c>
      <c r="L439" s="37">
        <f t="shared" ca="1" si="204"/>
        <v>3.9952499999999995</v>
      </c>
      <c r="M439" s="37">
        <f t="shared" ca="1" si="204"/>
        <v>5.6837499999999999</v>
      </c>
      <c r="N439" s="37">
        <f t="shared" ca="1" si="204"/>
        <v>7.312597499999999</v>
      </c>
      <c r="O439" s="37">
        <f t="shared" ca="1" si="204"/>
        <v>8.8508131374999994</v>
      </c>
      <c r="P439" s="37">
        <f t="shared" ca="1" si="204"/>
        <v>10.394348478687498</v>
      </c>
      <c r="Q439" s="37">
        <f t="shared" ca="1" si="204"/>
        <v>10.862094160228434</v>
      </c>
      <c r="R439" s="37">
        <f t="shared" ca="1" si="204"/>
        <v>11.350888397438714</v>
      </c>
      <c r="S439" s="37">
        <f t="shared" ca="1" si="204"/>
        <v>11.861678375323454</v>
      </c>
      <c r="T439" s="37">
        <f t="shared" ca="1" si="204"/>
        <v>12.39545390221301</v>
      </c>
      <c r="U439" s="37">
        <f t="shared" ca="1" si="204"/>
        <v>12.953249327812594</v>
      </c>
    </row>
    <row r="440" spans="1:21" ht="15" x14ac:dyDescent="0.25">
      <c r="A440" s="2" t="s">
        <v>614</v>
      </c>
      <c r="B440" s="4" t="str">
        <f t="shared" ref="B440:B445" si="205">$B$37</f>
        <v>From Fiscal</v>
      </c>
      <c r="D440" s="14">
        <f>'Fiscal Forecasts'!D$283</f>
        <v>0</v>
      </c>
      <c r="E440" s="14">
        <f>'Fiscal Forecasts'!E$283</f>
        <v>0</v>
      </c>
      <c r="F440" s="14">
        <f>'Fiscal Forecasts'!F$283</f>
        <v>2.0819999999999999</v>
      </c>
      <c r="G440" s="15">
        <f>'Fiscal Forecasts'!G$283</f>
        <v>0</v>
      </c>
      <c r="H440" s="15">
        <f>'Fiscal Forecasts'!H$283</f>
        <v>2.9729999999999999</v>
      </c>
      <c r="I440" s="15">
        <f>'Fiscal Forecasts'!I$283</f>
        <v>2.9729999999999999</v>
      </c>
      <c r="J440" s="15">
        <f>'Fiscal Forecasts'!J$283</f>
        <v>3</v>
      </c>
      <c r="K440" s="15">
        <f>'Fiscal Forecasts'!K$283</f>
        <v>3</v>
      </c>
      <c r="L440" s="6">
        <f ca="1">IF(L$6=OFFSET(Assumptions!$B$8,0,$C$1),OFFSET(Assumptions!$B$66,0,$C$1),K$440*(1+OFFSET(Assumptions!$B$67,0,$C$1)))</f>
        <v>9.5</v>
      </c>
      <c r="M440" s="6">
        <f ca="1">IF(M$6=OFFSET(Assumptions!$B$8,0,$C$1),OFFSET(Assumptions!$B$66,0,$C$1),L$440*(1+OFFSET(Assumptions!$B$67,0,$C$1)))</f>
        <v>9.9274999999999984</v>
      </c>
      <c r="N440" s="6">
        <f ca="1">IF(N$6=OFFSET(Assumptions!$B$8,0,$C$1),OFFSET(Assumptions!$B$66,0,$C$1),M$440*(1+OFFSET(Assumptions!$B$67,0,$C$1)))</f>
        <v>10.374237499999998</v>
      </c>
      <c r="O440" s="6">
        <f ca="1">IF(O$6=OFFSET(Assumptions!$B$8,0,$C$1),OFFSET(Assumptions!$B$66,0,$C$1),N$440*(1+OFFSET(Assumptions!$B$67,0,$C$1)))</f>
        <v>10.841078187499997</v>
      </c>
      <c r="P440" s="6">
        <f ca="1">IF(P$6=OFFSET(Assumptions!$B$8,0,$C$1),OFFSET(Assumptions!$B$66,0,$C$1),O$440*(1+OFFSET(Assumptions!$B$67,0,$C$1)))</f>
        <v>11.328926705937496</v>
      </c>
      <c r="Q440" s="6">
        <f ca="1">IF(Q$6=OFFSET(Assumptions!$B$8,0,$C$1),OFFSET(Assumptions!$B$66,0,$C$1),P$440*(1+OFFSET(Assumptions!$B$67,0,$C$1)))</f>
        <v>11.838728407704682</v>
      </c>
      <c r="R440" s="6">
        <f ca="1">IF(R$6=OFFSET(Assumptions!$B$8,0,$C$1),OFFSET(Assumptions!$B$66,0,$C$1),Q$440*(1+OFFSET(Assumptions!$B$67,0,$C$1)))</f>
        <v>12.371471186051393</v>
      </c>
      <c r="S440" s="6">
        <f ca="1">IF(S$6=OFFSET(Assumptions!$B$8,0,$C$1),OFFSET(Assumptions!$B$66,0,$C$1),R$440*(1+OFFSET(Assumptions!$B$67,0,$C$1)))</f>
        <v>12.928187389423705</v>
      </c>
      <c r="T440" s="6">
        <f ca="1">IF(T$6=OFFSET(Assumptions!$B$8,0,$C$1),OFFSET(Assumptions!$B$66,0,$C$1),S$440*(1+OFFSET(Assumptions!$B$67,0,$C$1)))</f>
        <v>13.509955821947772</v>
      </c>
      <c r="U440" s="6">
        <f ca="1">IF(U$6=OFFSET(Assumptions!$B$8,0,$C$1),OFFSET(Assumptions!$B$66,0,$C$1),T$440*(1+OFFSET(Assumptions!$B$67,0,$C$1)))</f>
        <v>14.11790383393542</v>
      </c>
    </row>
    <row r="441" spans="1:21" ht="15" x14ac:dyDescent="0.25">
      <c r="A441" s="2" t="s">
        <v>839</v>
      </c>
      <c r="B441" s="4" t="str">
        <f t="shared" si="205"/>
        <v>From Fiscal</v>
      </c>
      <c r="D441" s="39">
        <f>'Fiscal Forecasts'!D$124</f>
        <v>0</v>
      </c>
      <c r="E441" s="39">
        <f>'Fiscal Forecasts'!E$124</f>
        <v>0</v>
      </c>
      <c r="F441" s="39">
        <f>'Fiscal Forecasts'!F$124</f>
        <v>0</v>
      </c>
      <c r="G441" s="38">
        <f>'Fiscal Forecasts'!G$124</f>
        <v>0.185</v>
      </c>
      <c r="H441" s="38">
        <f>'Fiscal Forecasts'!H$124</f>
        <v>1.452</v>
      </c>
      <c r="I441" s="38">
        <f>'Fiscal Forecasts'!I$124</f>
        <v>2.9940000000000002</v>
      </c>
      <c r="J441" s="38">
        <f>'Fiscal Forecasts'!J$124</f>
        <v>5.351</v>
      </c>
      <c r="K441" s="38">
        <f>'Fiscal Forecasts'!K$124</f>
        <v>8.06</v>
      </c>
      <c r="L441" s="7">
        <f ca="1">SUM($D$439:L$439)</f>
        <v>12.055250000000001</v>
      </c>
      <c r="M441" s="7">
        <f ca="1">SUM($D$439:M$439)</f>
        <v>17.739000000000001</v>
      </c>
      <c r="N441" s="7">
        <f ca="1">SUM($D$439:N$439)</f>
        <v>25.0515975</v>
      </c>
      <c r="O441" s="7">
        <f ca="1">SUM($D$439:O$439)</f>
        <v>33.902410637499997</v>
      </c>
      <c r="P441" s="7">
        <f ca="1">SUM($D$439:P$439)</f>
        <v>44.296759116187495</v>
      </c>
      <c r="Q441" s="7">
        <f ca="1">SUM($D$439:Q$439)</f>
        <v>55.158853276415925</v>
      </c>
      <c r="R441" s="7">
        <f ca="1">SUM($D$439:R$439)</f>
        <v>66.509741673854634</v>
      </c>
      <c r="S441" s="7">
        <f ca="1">SUM($D$439:S$439)</f>
        <v>78.371420049178084</v>
      </c>
      <c r="T441" s="7">
        <f ca="1">SUM($D$439:T$439)</f>
        <v>90.766873951391091</v>
      </c>
      <c r="U441" s="7">
        <f ca="1">SUM($D$439:U$439)</f>
        <v>103.72012327920369</v>
      </c>
    </row>
    <row r="442" spans="1:21" ht="15" x14ac:dyDescent="0.25">
      <c r="A442" s="2" t="s">
        <v>840</v>
      </c>
      <c r="B442" s="4" t="str">
        <f t="shared" si="205"/>
        <v>From Fiscal</v>
      </c>
      <c r="D442" s="39">
        <f>'Fiscal Forecasts'!D$125</f>
        <v>0</v>
      </c>
      <c r="E442" s="39">
        <f>'Fiscal Forecasts'!E$125</f>
        <v>0</v>
      </c>
      <c r="F442" s="39">
        <f>'Fiscal Forecasts'!F$125</f>
        <v>0</v>
      </c>
      <c r="G442" s="38">
        <f>'Fiscal Forecasts'!G$125</f>
        <v>-0.48499999999999999</v>
      </c>
      <c r="H442" s="38">
        <f>'Fiscal Forecasts'!H$125</f>
        <v>-1.085</v>
      </c>
      <c r="I442" s="38">
        <f>'Fiscal Forecasts'!I$125</f>
        <v>-1.2350000000000001</v>
      </c>
      <c r="J442" s="38">
        <f>'Fiscal Forecasts'!J$125</f>
        <v>-1.4850000000000001</v>
      </c>
      <c r="K442" s="38">
        <f>'Fiscal Forecasts'!K$125</f>
        <v>-1.4850000000000001</v>
      </c>
      <c r="L442" s="7">
        <f ca="1">K$442*(1+OFFSET(Assumptions!$B$67,0,$C$1))</f>
        <v>-1.551825</v>
      </c>
      <c r="M442" s="7">
        <f ca="1">L$442*(1+OFFSET(Assumptions!$B$67,0,$C$1))</f>
        <v>-1.6216571249999998</v>
      </c>
      <c r="N442" s="7">
        <f ca="1">M$442*(1+OFFSET(Assumptions!$B$67,0,$C$1))</f>
        <v>-1.6946316956249996</v>
      </c>
      <c r="O442" s="7">
        <f ca="1">N$442*(1+OFFSET(Assumptions!$B$67,0,$C$1))</f>
        <v>-1.7708901219281246</v>
      </c>
      <c r="P442" s="7">
        <f ca="1">O$442*(1+OFFSET(Assumptions!$B$67,0,$C$1))</f>
        <v>-1.85058017741489</v>
      </c>
      <c r="Q442" s="7">
        <f ca="1">P$442*(1+OFFSET(Assumptions!$B$67,0,$C$1))</f>
        <v>-1.9338562853985599</v>
      </c>
      <c r="R442" s="7">
        <f ca="1">Q$442*(1+OFFSET(Assumptions!$B$67,0,$C$1))</f>
        <v>-2.0208798182414949</v>
      </c>
      <c r="S442" s="7">
        <f ca="1">R$442*(1+OFFSET(Assumptions!$B$67,0,$C$1))</f>
        <v>-2.111819410062362</v>
      </c>
      <c r="T442" s="7">
        <f ca="1">S$442*(1+OFFSET(Assumptions!$B$67,0,$C$1))</f>
        <v>-2.2068512835151681</v>
      </c>
      <c r="U442" s="7">
        <f ca="1">T$442*(1+OFFSET(Assumptions!$B$67,0,$C$1))</f>
        <v>-2.3061595912733504</v>
      </c>
    </row>
    <row r="443" spans="1:21" ht="15" x14ac:dyDescent="0.25">
      <c r="B443" s="4"/>
      <c r="D443" s="39"/>
      <c r="E443" s="39"/>
      <c r="F443" s="39"/>
      <c r="G443" s="39"/>
      <c r="H443" s="39"/>
      <c r="I443" s="39"/>
      <c r="J443" s="39"/>
      <c r="K443" s="39"/>
      <c r="L443" s="7"/>
      <c r="M443" s="7"/>
      <c r="N443" s="7"/>
      <c r="O443" s="7"/>
      <c r="P443" s="7"/>
      <c r="Q443" s="7"/>
      <c r="R443" s="7"/>
      <c r="S443" s="7"/>
      <c r="T443" s="7"/>
      <c r="U443" s="7"/>
    </row>
    <row r="444" spans="1:21" ht="15" x14ac:dyDescent="0.25">
      <c r="A444" s="18" t="s">
        <v>225</v>
      </c>
      <c r="B444" s="4"/>
      <c r="D444" s="39"/>
      <c r="E444" s="39"/>
      <c r="F444" s="39"/>
      <c r="G444" s="38"/>
      <c r="H444" s="38"/>
      <c r="I444" s="38"/>
      <c r="J444" s="38"/>
      <c r="K444" s="38"/>
      <c r="L444" s="7"/>
      <c r="M444" s="7"/>
      <c r="N444" s="7"/>
      <c r="O444" s="7"/>
      <c r="P444" s="7"/>
      <c r="Q444" s="7"/>
      <c r="R444" s="7"/>
      <c r="S444" s="7"/>
      <c r="T444" s="7"/>
      <c r="U444" s="7"/>
    </row>
    <row r="445" spans="1:21" ht="15" x14ac:dyDescent="0.25">
      <c r="A445" s="2" t="s">
        <v>617</v>
      </c>
      <c r="B445" s="4" t="str">
        <f t="shared" si="205"/>
        <v>From Fiscal</v>
      </c>
      <c r="D445" s="39">
        <f>'Fiscal Forecasts'!D$127</f>
        <v>5.3360000000000003</v>
      </c>
      <c r="E445" s="39">
        <f>'Fiscal Forecasts'!E$127</f>
        <v>5.7149999999999999</v>
      </c>
      <c r="F445" s="39">
        <f>'Fiscal Forecasts'!F$127</f>
        <v>5.98</v>
      </c>
      <c r="G445" s="38">
        <f>'Fiscal Forecasts'!G$127</f>
        <v>6.44</v>
      </c>
      <c r="H445" s="38">
        <f>'Fiscal Forecasts'!H$127</f>
        <v>6.6360000000000001</v>
      </c>
      <c r="I445" s="38">
        <f>'Fiscal Forecasts'!I$127</f>
        <v>6.8380000000000001</v>
      </c>
      <c r="J445" s="38">
        <f>'Fiscal Forecasts'!J$127</f>
        <v>7.0460000000000003</v>
      </c>
      <c r="K445" s="38">
        <f>'Fiscal Forecasts'!K$127</f>
        <v>7.26</v>
      </c>
      <c r="L445" s="7">
        <f ca="1">(K$445/K$13+ IF(L$2&gt;0,L$2*IF(L$6=OFFSET(Assumptions!$B$8,0,$C$1),SUMPRODUCT(OFFSET(K$445,0,0,1,-OFFSET(Assumptions!$B$84,0,$C$1)),OFFSET(K$15,0,0,1,-OFFSET(Assumptions!$B$84,0,$C$1)))/OFFSET(Assumptions!$B$84,0,$C$1)-K$445/K$13,(K$445/K$13-J$445/J$13)/K$2),0))*L$13</f>
        <v>7.6375284660035572</v>
      </c>
      <c r="M445" s="7">
        <f ca="1">(L$445/L$13+ IF(M$2&gt;0,M$2*IF(M$6=OFFSET(Assumptions!$B$8,0,$C$1),SUMPRODUCT(OFFSET(L$445,0,0,1,-OFFSET(Assumptions!$B$84,0,$C$1)),OFFSET(L$15,0,0,1,-OFFSET(Assumptions!$B$84,0,$C$1)))/OFFSET(Assumptions!$B$84,0,$C$1)-L$445/L$13,(L$445/L$13-K$445/K$13)/L$2),0))*M$13</f>
        <v>8.016763354571907</v>
      </c>
      <c r="N445" s="7">
        <f ca="1">(M$445/M$13+ IF(N$2&gt;0,N$2*IF(N$6=OFFSET(Assumptions!$B$8,0,$C$1),SUMPRODUCT(OFFSET(M$445,0,0,1,-OFFSET(Assumptions!$B$84,0,$C$1)),OFFSET(M$15,0,0,1,-OFFSET(Assumptions!$B$84,0,$C$1)))/OFFSET(Assumptions!$B$84,0,$C$1)-M$445/M$13,(M$445/M$13-L$445/L$13)/M$2),0))*N$13</f>
        <v>8.3982585636849105</v>
      </c>
      <c r="O445" s="7">
        <f ca="1">(N$445/N$13+ IF(O$2&gt;0,O$2*IF(O$6=OFFSET(Assumptions!$B$8,0,$C$1),SUMPRODUCT(OFFSET(N$445,0,0,1,-OFFSET(Assumptions!$B$84,0,$C$1)),OFFSET(N$15,0,0,1,-OFFSET(Assumptions!$B$84,0,$C$1)))/OFFSET(Assumptions!$B$84,0,$C$1)-N$445/N$13,(N$445/N$13-M$445/M$13)/N$2),0))*O$13</f>
        <v>8.7825771659926151</v>
      </c>
      <c r="P445" s="7">
        <f ca="1">(O$445/O$13+ IF(P$2&gt;0,P$2*IF(P$6=OFFSET(Assumptions!$B$8,0,$C$1),SUMPRODUCT(OFFSET(O$445,0,0,1,-OFFSET(Assumptions!$B$84,0,$C$1)),OFFSET(O$15,0,0,1,-OFFSET(Assumptions!$B$84,0,$C$1)))/OFFSET(Assumptions!$B$84,0,$C$1)-O$445/O$13,(O$445/O$13-N$445/N$13)/O$2),0))*P$13</f>
        <v>9.1720230691375324</v>
      </c>
      <c r="Q445" s="7">
        <f ca="1">(P$445/P$13+ IF(Q$2&gt;0,Q$2*IF(Q$6=OFFSET(Assumptions!$B$8,0,$C$1),SUMPRODUCT(OFFSET(P$445,0,0,1,-OFFSET(Assumptions!$B$84,0,$C$1)),OFFSET(P$15,0,0,1,-OFFSET(Assumptions!$B$84,0,$C$1)))/OFFSET(Assumptions!$B$84,0,$C$1)-P$445/P$13,(P$445/P$13-O$445/O$13)/P$2),0))*Q$13</f>
        <v>9.5661408899404794</v>
      </c>
      <c r="R445" s="7">
        <f ca="1">(Q$445/Q$13+ IF(R$2&gt;0,R$2*IF(R$6=OFFSET(Assumptions!$B$8,0,$C$1),SUMPRODUCT(OFFSET(Q$445,0,0,1,-OFFSET(Assumptions!$B$84,0,$C$1)),OFFSET(Q$15,0,0,1,-OFFSET(Assumptions!$B$84,0,$C$1)))/OFFSET(Assumptions!$B$84,0,$C$1)-Q$445/Q$13,(Q$445/Q$13-P$445/P$13)/Q$2),0))*R$13</f>
        <v>9.9727005202763195</v>
      </c>
      <c r="S445" s="7">
        <f ca="1">(R$445/R$13+ IF(S$2&gt;0,S$2*IF(S$6=OFFSET(Assumptions!$B$8,0,$C$1),SUMPRODUCT(OFFSET(R$445,0,0,1,-OFFSET(Assumptions!$B$84,0,$C$1)),OFFSET(R$15,0,0,1,-OFFSET(Assumptions!$B$84,0,$C$1)))/OFFSET(Assumptions!$B$84,0,$C$1)-R$445/R$13,(R$445/R$13-Q$445/Q$13)/R$2),0))*S$13</f>
        <v>10.392912810162491</v>
      </c>
      <c r="T445" s="7">
        <f ca="1">(S$445/S$13+ IF(T$2&gt;0,T$2*IF(T$6=OFFSET(Assumptions!$B$8,0,$C$1),SUMPRODUCT(OFFSET(S$445,0,0,1,-OFFSET(Assumptions!$B$84,0,$C$1)),OFFSET(S$15,0,0,1,-OFFSET(Assumptions!$B$84,0,$C$1)))/OFFSET(Assumptions!$B$84,0,$C$1)-S$445/S$13,(S$445/S$13-R$445/R$13)/S$2),0))*T$13</f>
        <v>10.827160143988008</v>
      </c>
      <c r="U445" s="7">
        <f ca="1">(T$445/T$13+ IF(U$2&gt;0,U$2*IF(U$6=OFFSET(Assumptions!$B$8,0,$C$1),SUMPRODUCT(OFFSET(T$445,0,0,1,-OFFSET(Assumptions!$B$84,0,$C$1)),OFFSET(T$15,0,0,1,-OFFSET(Assumptions!$B$84,0,$C$1)))/OFFSET(Assumptions!$B$84,0,$C$1)-T$445/T$13,(T$445/T$13-S$445/S$13)/T$2),0))*U$13</f>
        <v>11.276755225968778</v>
      </c>
    </row>
    <row r="446" spans="1:21" ht="15" x14ac:dyDescent="0.25">
      <c r="A446" s="2"/>
      <c r="B446" s="4"/>
    </row>
    <row r="447" spans="1:21" x14ac:dyDescent="0.2">
      <c r="A447" s="18" t="s">
        <v>226</v>
      </c>
      <c r="B447" s="4"/>
    </row>
    <row r="448" spans="1:21" x14ac:dyDescent="0.2">
      <c r="A448" s="1" t="s">
        <v>618</v>
      </c>
      <c r="B448" s="4"/>
      <c r="D448" s="14">
        <f t="shared" ref="D448:K448" si="206">D$376-D$69</f>
        <v>0.65200000000000014</v>
      </c>
      <c r="E448" s="14">
        <f t="shared" si="206"/>
        <v>0.82600000000000007</v>
      </c>
      <c r="F448" s="14">
        <f t="shared" si="206"/>
        <v>3.1689999999999996</v>
      </c>
      <c r="G448" s="15">
        <f t="shared" si="206"/>
        <v>1.2669999999999999</v>
      </c>
      <c r="H448" s="15">
        <f t="shared" si="206"/>
        <v>1.181</v>
      </c>
      <c r="I448" s="15">
        <f t="shared" si="206"/>
        <v>1.3220000000000001</v>
      </c>
      <c r="J448" s="15">
        <f t="shared" si="206"/>
        <v>1.5179999999999998</v>
      </c>
      <c r="K448" s="15">
        <f t="shared" si="206"/>
        <v>1.6539999999999999</v>
      </c>
      <c r="L448" s="6">
        <f ca="1">K$448*L$373/K$373</f>
        <v>1.818889657477843</v>
      </c>
      <c r="M448" s="6">
        <f t="shared" ref="M448:U448" ca="1" si="207">L$448*M$373/L$373</f>
        <v>1.992125698262923</v>
      </c>
      <c r="N448" s="6">
        <f t="shared" ca="1" si="207"/>
        <v>2.172897416473254</v>
      </c>
      <c r="O448" s="6">
        <f t="shared" ca="1" si="207"/>
        <v>2.360440582986191</v>
      </c>
      <c r="P448" s="6">
        <f t="shared" ca="1" si="207"/>
        <v>2.5547077941877023</v>
      </c>
      <c r="Q448" s="6">
        <f t="shared" ca="1" si="207"/>
        <v>2.7525589504401768</v>
      </c>
      <c r="R448" s="6">
        <f t="shared" ca="1" si="207"/>
        <v>2.9541689931060708</v>
      </c>
      <c r="S448" s="6">
        <f t="shared" ca="1" si="207"/>
        <v>3.1609591199345322</v>
      </c>
      <c r="T448" s="6">
        <f t="shared" ca="1" si="207"/>
        <v>3.3734113711401958</v>
      </c>
      <c r="U448" s="6">
        <f t="shared" ca="1" si="207"/>
        <v>3.5916270074165055</v>
      </c>
    </row>
    <row r="449" spans="1:21" x14ac:dyDescent="0.2">
      <c r="A449" s="1" t="s">
        <v>375</v>
      </c>
      <c r="B449" s="4" t="str">
        <f t="shared" ref="B449:B461" si="208">$B$37</f>
        <v>From Fiscal</v>
      </c>
      <c r="D449" s="14">
        <f>'Fiscal Forecasts'!D$354</f>
        <v>4.3540000000000001</v>
      </c>
      <c r="E449" s="14">
        <f>'Fiscal Forecasts'!E$354</f>
        <v>4.5209999999999999</v>
      </c>
      <c r="F449" s="14">
        <f>'Fiscal Forecasts'!F$354</f>
        <v>4.2770000000000001</v>
      </c>
      <c r="G449" s="15">
        <f>'Fiscal Forecasts'!G$354</f>
        <v>4.3280000000000003</v>
      </c>
      <c r="H449" s="15">
        <f>'Fiscal Forecasts'!H$354</f>
        <v>4.3369999999999997</v>
      </c>
      <c r="I449" s="15">
        <f>'Fiscal Forecasts'!I$354</f>
        <v>4.3570000000000002</v>
      </c>
      <c r="J449" s="15">
        <f>'Fiscal Forecasts'!J$354</f>
        <v>4.3760000000000003</v>
      </c>
      <c r="K449" s="15">
        <f>'Fiscal Forecasts'!K$354</f>
        <v>4.3929999999999998</v>
      </c>
      <c r="L449" s="6">
        <f t="shared" ref="L449:U449" ca="1" si="209">K$449*L$342/K$342</f>
        <v>4.5824215746036163</v>
      </c>
      <c r="M449" s="6">
        <f t="shared" ca="1" si="209"/>
        <v>4.8074119821946839</v>
      </c>
      <c r="N449" s="6">
        <f t="shared" ca="1" si="209"/>
        <v>5.0216221323821815</v>
      </c>
      <c r="O449" s="6">
        <f t="shared" ca="1" si="209"/>
        <v>5.2413173325253979</v>
      </c>
      <c r="P449" s="6">
        <f t="shared" ca="1" si="209"/>
        <v>5.468472945340368</v>
      </c>
      <c r="Q449" s="6">
        <f t="shared" ca="1" si="209"/>
        <v>5.7034508367054055</v>
      </c>
      <c r="R449" s="6">
        <f t="shared" ca="1" si="209"/>
        <v>5.9458466879151635</v>
      </c>
      <c r="S449" s="6">
        <f t="shared" ca="1" si="209"/>
        <v>6.1963824226402764</v>
      </c>
      <c r="T449" s="6">
        <f t="shared" ca="1" si="209"/>
        <v>6.4552860231557849</v>
      </c>
      <c r="U449" s="6">
        <f t="shared" ca="1" si="209"/>
        <v>6.7233401398579913</v>
      </c>
    </row>
    <row r="450" spans="1:21" x14ac:dyDescent="0.2">
      <c r="A450" s="1" t="s">
        <v>619</v>
      </c>
      <c r="B450" s="4" t="str">
        <f t="shared" si="208"/>
        <v>From Fiscal</v>
      </c>
      <c r="D450" s="14">
        <f>'Fiscal Forecasts'!D$179-SUM(D$448:D$449)</f>
        <v>3.125</v>
      </c>
      <c r="E450" s="14">
        <f>'Fiscal Forecasts'!E$179-SUM(E$448:E$449)</f>
        <v>2.8109999999999999</v>
      </c>
      <c r="F450" s="14">
        <f>'Fiscal Forecasts'!F$179-SUM(F$448:F$449)</f>
        <v>3.407</v>
      </c>
      <c r="G450" s="15">
        <f>'Fiscal Forecasts'!G$179-SUM(G$448:G$449)</f>
        <v>2.3499999999999996</v>
      </c>
      <c r="H450" s="15">
        <f>'Fiscal Forecasts'!H$179-SUM(H$448:H$449)</f>
        <v>2.7</v>
      </c>
      <c r="I450" s="15">
        <f>'Fiscal Forecasts'!I$179-SUM(I$448:I$449)</f>
        <v>2.5700000000000003</v>
      </c>
      <c r="J450" s="15">
        <f>'Fiscal Forecasts'!J$179-SUM(J$448:J$449)</f>
        <v>2.6440000000000001</v>
      </c>
      <c r="K450" s="15">
        <f>'Fiscal Forecasts'!K$179-SUM(K$448:K$449)</f>
        <v>2.7570000000000006</v>
      </c>
      <c r="L450" s="6">
        <f t="shared" ref="L450:U450" ca="1" si="210">K$450*(1+L$23)*(1+L$30)</f>
        <v>2.8386169248563062</v>
      </c>
      <c r="M450" s="6">
        <f t="shared" ca="1" si="210"/>
        <v>2.9221262795563825</v>
      </c>
      <c r="N450" s="6">
        <f t="shared" ca="1" si="210"/>
        <v>3.0076058058446633</v>
      </c>
      <c r="O450" s="6">
        <f t="shared" ca="1" si="210"/>
        <v>3.0949560453185185</v>
      </c>
      <c r="P450" s="6">
        <f t="shared" ca="1" si="210"/>
        <v>3.1840492013949611</v>
      </c>
      <c r="Q450" s="6">
        <f t="shared" ca="1" si="210"/>
        <v>3.2749333944843144</v>
      </c>
      <c r="R450" s="6">
        <f t="shared" ca="1" si="210"/>
        <v>3.3674418047889252</v>
      </c>
      <c r="S450" s="6">
        <f t="shared" ca="1" si="210"/>
        <v>3.4615314014683265</v>
      </c>
      <c r="T450" s="6">
        <f t="shared" ca="1" si="210"/>
        <v>3.5573025188531155</v>
      </c>
      <c r="U450" s="6">
        <f t="shared" ca="1" si="210"/>
        <v>3.6545333049928792</v>
      </c>
    </row>
    <row r="451" spans="1:21" ht="15" x14ac:dyDescent="0.25">
      <c r="A451" s="2" t="s">
        <v>620</v>
      </c>
      <c r="B451" s="4"/>
      <c r="D451" s="34">
        <f t="shared" ref="D451:U451" si="211">SUM(D$448:D$450)</f>
        <v>8.1310000000000002</v>
      </c>
      <c r="E451" s="34">
        <f t="shared" si="211"/>
        <v>8.1579999999999995</v>
      </c>
      <c r="F451" s="34">
        <f t="shared" si="211"/>
        <v>10.853</v>
      </c>
      <c r="G451" s="33">
        <f t="shared" si="211"/>
        <v>7.9450000000000003</v>
      </c>
      <c r="H451" s="33">
        <f t="shared" si="211"/>
        <v>8.218</v>
      </c>
      <c r="I451" s="33">
        <f t="shared" si="211"/>
        <v>8.2490000000000006</v>
      </c>
      <c r="J451" s="33">
        <f t="shared" si="211"/>
        <v>8.5380000000000003</v>
      </c>
      <c r="K451" s="33">
        <f t="shared" si="211"/>
        <v>8.8040000000000003</v>
      </c>
      <c r="L451" s="37">
        <f t="shared" ca="1" si="211"/>
        <v>9.2399281569377649</v>
      </c>
      <c r="M451" s="37">
        <f t="shared" ca="1" si="211"/>
        <v>9.7216639600139896</v>
      </c>
      <c r="N451" s="37">
        <f t="shared" ca="1" si="211"/>
        <v>10.202125354700099</v>
      </c>
      <c r="O451" s="37">
        <f t="shared" ca="1" si="211"/>
        <v>10.696713960830108</v>
      </c>
      <c r="P451" s="37">
        <f t="shared" ca="1" si="211"/>
        <v>11.207229940923032</v>
      </c>
      <c r="Q451" s="37">
        <f t="shared" ca="1" si="211"/>
        <v>11.730943181629897</v>
      </c>
      <c r="R451" s="37">
        <f t="shared" ca="1" si="211"/>
        <v>12.267457485810159</v>
      </c>
      <c r="S451" s="37">
        <f t="shared" ca="1" si="211"/>
        <v>12.818872944043134</v>
      </c>
      <c r="T451" s="37">
        <f t="shared" ca="1" si="211"/>
        <v>13.385999913149096</v>
      </c>
      <c r="U451" s="37">
        <f t="shared" ca="1" si="211"/>
        <v>13.969500452267377</v>
      </c>
    </row>
    <row r="452" spans="1:21" ht="15" x14ac:dyDescent="0.25">
      <c r="A452" s="2" t="s">
        <v>621</v>
      </c>
      <c r="B452" s="4" t="str">
        <f t="shared" si="208"/>
        <v>From Fiscal</v>
      </c>
      <c r="D452" s="39">
        <f>'Fiscal Forecasts'!D$128</f>
        <v>11.952999999999999</v>
      </c>
      <c r="E452" s="39">
        <f>'Fiscal Forecasts'!E$128</f>
        <v>12.029</v>
      </c>
      <c r="F452" s="39">
        <f>'Fiscal Forecasts'!F$128</f>
        <v>14.794</v>
      </c>
      <c r="G452" s="38">
        <f>'Fiscal Forecasts'!G$128</f>
        <v>13.007</v>
      </c>
      <c r="H452" s="38">
        <f>'Fiscal Forecasts'!H$128</f>
        <v>13.484</v>
      </c>
      <c r="I452" s="38">
        <f>'Fiscal Forecasts'!I$128</f>
        <v>13.275</v>
      </c>
      <c r="J452" s="38">
        <f>'Fiscal Forecasts'!J$128</f>
        <v>13.417</v>
      </c>
      <c r="K452" s="38">
        <f>'Fiscal Forecasts'!K$128</f>
        <v>13.651</v>
      </c>
      <c r="L452" s="7">
        <f t="shared" ref="L452:U452" ca="1" si="212">L$451+(K$452-K$451)*(1+L$23)*(1+L$30)</f>
        <v>14.230416453919453</v>
      </c>
      <c r="M452" s="7">
        <f t="shared" ca="1" si="212"/>
        <v>14.858967578806077</v>
      </c>
      <c r="N452" s="7">
        <f t="shared" ca="1" si="212"/>
        <v>15.489707995588414</v>
      </c>
      <c r="O452" s="7">
        <f t="shared" ca="1" si="212"/>
        <v>16.137864469230131</v>
      </c>
      <c r="P452" s="7">
        <f t="shared" ca="1" si="212"/>
        <v>16.805012486864772</v>
      </c>
      <c r="Q452" s="7">
        <f t="shared" ca="1" si="212"/>
        <v>17.488506534210771</v>
      </c>
      <c r="R452" s="7">
        <f t="shared" ca="1" si="212"/>
        <v>18.18765713318481</v>
      </c>
      <c r="S452" s="7">
        <f t="shared" ca="1" si="212"/>
        <v>18.904488723120746</v>
      </c>
      <c r="T452" s="7">
        <f t="shared" ca="1" si="212"/>
        <v>19.639988055652196</v>
      </c>
      <c r="U452" s="7">
        <f t="shared" ca="1" si="212"/>
        <v>20.394427158578761</v>
      </c>
    </row>
    <row r="453" spans="1:21" ht="15" x14ac:dyDescent="0.25">
      <c r="A453" s="2"/>
      <c r="B453" s="4"/>
      <c r="D453" s="63"/>
      <c r="E453" s="63"/>
      <c r="F453" s="63"/>
      <c r="G453" s="63"/>
      <c r="H453" s="63"/>
      <c r="I453" s="63"/>
      <c r="J453" s="63"/>
      <c r="K453" s="63"/>
      <c r="L453" s="63"/>
      <c r="M453" s="63"/>
      <c r="N453" s="63"/>
      <c r="O453" s="63"/>
      <c r="P453" s="63"/>
      <c r="Q453" s="63"/>
      <c r="R453" s="63"/>
      <c r="S453" s="63"/>
      <c r="T453" s="63"/>
      <c r="U453" s="63"/>
    </row>
    <row r="454" spans="1:21" ht="15" x14ac:dyDescent="0.25">
      <c r="A454" s="18" t="s">
        <v>227</v>
      </c>
      <c r="B454" s="4"/>
      <c r="D454" s="39"/>
      <c r="E454" s="39"/>
      <c r="F454" s="39"/>
      <c r="G454" s="38"/>
      <c r="H454" s="7"/>
      <c r="I454" s="7"/>
      <c r="J454" s="7"/>
      <c r="K454" s="7"/>
      <c r="L454" s="7"/>
      <c r="M454" s="7"/>
      <c r="N454" s="7"/>
      <c r="O454" s="7"/>
      <c r="P454" s="7"/>
      <c r="Q454" s="7"/>
      <c r="R454" s="7"/>
      <c r="S454" s="7"/>
      <c r="T454" s="7"/>
      <c r="U454" s="7"/>
    </row>
    <row r="455" spans="1:21" ht="15" x14ac:dyDescent="0.25">
      <c r="A455" s="2" t="s">
        <v>622</v>
      </c>
      <c r="B455" s="4" t="str">
        <f t="shared" si="208"/>
        <v>From Fiscal</v>
      </c>
      <c r="D455" s="39">
        <f>'Fiscal Forecasts'!D$180</f>
        <v>0.57299999999999995</v>
      </c>
      <c r="E455" s="39">
        <f>'Fiscal Forecasts'!E$180</f>
        <v>0.54600000000000004</v>
      </c>
      <c r="F455" s="39">
        <f>'Fiscal Forecasts'!F$180</f>
        <v>0.50800000000000001</v>
      </c>
      <c r="G455" s="38">
        <f>'Fiscal Forecasts'!G$180</f>
        <v>0.48099999999999998</v>
      </c>
      <c r="H455" s="38">
        <f>'Fiscal Forecasts'!H$180</f>
        <v>0.45300000000000001</v>
      </c>
      <c r="I455" s="38">
        <f>'Fiscal Forecasts'!I$180</f>
        <v>0.42599999999999999</v>
      </c>
      <c r="J455" s="38">
        <f>'Fiscal Forecasts'!J$180</f>
        <v>0.4</v>
      </c>
      <c r="K455" s="38">
        <f>'Fiscal Forecasts'!K$180</f>
        <v>0.373</v>
      </c>
      <c r="L455" s="7">
        <f ca="1">SUM(K$455,L$398-K$398,L$402-K$402)</f>
        <v>0.42646397036288997</v>
      </c>
      <c r="M455" s="7">
        <f t="shared" ref="M455:U455" ca="1" si="213">SUM(L$455,M$398-L$398,M$402-L$402)</f>
        <v>0.48116759553094879</v>
      </c>
      <c r="N455" s="7">
        <f t="shared" ca="1" si="213"/>
        <v>0.53716180099944189</v>
      </c>
      <c r="O455" s="7">
        <f t="shared" ca="1" si="213"/>
        <v>0.59438143556229361</v>
      </c>
      <c r="P455" s="7">
        <f t="shared" ca="1" si="213"/>
        <v>0.65274278480932102</v>
      </c>
      <c r="Q455" s="7">
        <f t="shared" ca="1" si="213"/>
        <v>0.71227737048918049</v>
      </c>
      <c r="R455" s="7">
        <f t="shared" ca="1" si="213"/>
        <v>0.77287591565063385</v>
      </c>
      <c r="S455" s="7">
        <f t="shared" ca="1" si="213"/>
        <v>0.83451023251788037</v>
      </c>
      <c r="T455" s="7">
        <f t="shared" ca="1" si="213"/>
        <v>0.89724604608223624</v>
      </c>
      <c r="U455" s="7">
        <f t="shared" ca="1" si="213"/>
        <v>0.96093803003886058</v>
      </c>
    </row>
    <row r="456" spans="1:21" ht="15" x14ac:dyDescent="0.25">
      <c r="A456" s="2" t="s">
        <v>623</v>
      </c>
      <c r="B456" s="4" t="str">
        <f t="shared" si="208"/>
        <v>From Fiscal</v>
      </c>
      <c r="D456" s="39">
        <f>'Fiscal Forecasts'!D$129</f>
        <v>2.1120000000000001</v>
      </c>
      <c r="E456" s="39">
        <f>'Fiscal Forecasts'!E$129</f>
        <v>2.1779999999999999</v>
      </c>
      <c r="F456" s="39">
        <f>'Fiscal Forecasts'!F$129</f>
        <v>2.2240000000000002</v>
      </c>
      <c r="G456" s="38">
        <f>'Fiscal Forecasts'!G$129</f>
        <v>2.3069999999999999</v>
      </c>
      <c r="H456" s="38">
        <f>'Fiscal Forecasts'!H$129</f>
        <v>2.4140000000000001</v>
      </c>
      <c r="I456" s="38">
        <f>'Fiscal Forecasts'!I$129</f>
        <v>2.4380000000000002</v>
      </c>
      <c r="J456" s="38">
        <f>'Fiscal Forecasts'!J$129</f>
        <v>2.496</v>
      </c>
      <c r="K456" s="38">
        <f>'Fiscal Forecasts'!K$129</f>
        <v>2.5470000000000002</v>
      </c>
      <c r="L456" s="7">
        <f ca="1">SUM(K$456,L$399-K$399,L$403-K$403)</f>
        <v>2.660203888520317</v>
      </c>
      <c r="M456" s="7">
        <f t="shared" ref="M456:U456" ca="1" si="214">SUM(L$456,M$399-L$399,M$403-L$403)</f>
        <v>2.7760326053767161</v>
      </c>
      <c r="N456" s="7">
        <f t="shared" ca="1" si="214"/>
        <v>2.8945939795248434</v>
      </c>
      <c r="O456" s="7">
        <f t="shared" ca="1" si="214"/>
        <v>3.0157500606811807</v>
      </c>
      <c r="P456" s="7">
        <f t="shared" ca="1" si="214"/>
        <v>3.1393235930846322</v>
      </c>
      <c r="Q456" s="7">
        <f t="shared" ca="1" si="214"/>
        <v>3.2653813204599267</v>
      </c>
      <c r="R456" s="7">
        <f t="shared" ca="1" si="214"/>
        <v>3.3936918612669023</v>
      </c>
      <c r="S456" s="7">
        <f t="shared" ca="1" si="214"/>
        <v>3.5241955310899091</v>
      </c>
      <c r="T456" s="7">
        <f t="shared" ca="1" si="214"/>
        <v>3.657031495137582</v>
      </c>
      <c r="U456" s="7">
        <f t="shared" ca="1" si="214"/>
        <v>3.7918920414554846</v>
      </c>
    </row>
    <row r="457" spans="1:21" ht="15" x14ac:dyDescent="0.25">
      <c r="A457" s="2"/>
      <c r="B457" s="4"/>
      <c r="D457" s="14"/>
      <c r="E457" s="14"/>
      <c r="F457" s="14"/>
      <c r="G457" s="55"/>
      <c r="H457" s="55"/>
      <c r="I457" s="55"/>
      <c r="J457" s="55"/>
      <c r="K457" s="55"/>
      <c r="L457" s="55"/>
      <c r="M457" s="55"/>
      <c r="N457" s="55"/>
      <c r="O457" s="55"/>
      <c r="P457" s="55"/>
      <c r="Q457" s="55"/>
      <c r="R457" s="55"/>
      <c r="S457" s="55"/>
      <c r="T457" s="55"/>
      <c r="U457" s="55"/>
    </row>
    <row r="458" spans="1:21" ht="15" x14ac:dyDescent="0.25">
      <c r="A458" s="18" t="s">
        <v>229</v>
      </c>
      <c r="B458" s="4"/>
      <c r="D458" s="39"/>
      <c r="E458" s="39"/>
      <c r="F458" s="39"/>
      <c r="G458" s="38"/>
      <c r="H458" s="38"/>
      <c r="I458" s="38"/>
      <c r="J458" s="38"/>
      <c r="K458" s="38"/>
      <c r="L458" s="7"/>
      <c r="M458" s="7"/>
      <c r="N458" s="7"/>
      <c r="O458" s="7"/>
      <c r="P458" s="7"/>
      <c r="Q458" s="7"/>
      <c r="R458" s="7"/>
      <c r="S458" s="7"/>
      <c r="T458" s="7"/>
      <c r="U458" s="7"/>
    </row>
    <row r="459" spans="1:21" ht="15" x14ac:dyDescent="0.25">
      <c r="A459" s="2" t="s">
        <v>627</v>
      </c>
      <c r="B459" s="4" t="str">
        <f t="shared" si="208"/>
        <v>From Fiscal</v>
      </c>
      <c r="D459" s="14">
        <f>'Fiscal Forecasts'!D$181</f>
        <v>2.3E-2</v>
      </c>
      <c r="E459" s="14">
        <f>'Fiscal Forecasts'!E$181</f>
        <v>0.02</v>
      </c>
      <c r="F459" s="14">
        <f>'Fiscal Forecasts'!F$181</f>
        <v>0.02</v>
      </c>
      <c r="G459" s="15">
        <f>'Fiscal Forecasts'!G$181</f>
        <v>6.6000000000000003E-2</v>
      </c>
      <c r="H459" s="15">
        <f>'Fiscal Forecasts'!H$181</f>
        <v>2E-3</v>
      </c>
      <c r="I459" s="15">
        <f>'Fiscal Forecasts'!I$181</f>
        <v>2E-3</v>
      </c>
      <c r="J459" s="15">
        <f>'Fiscal Forecasts'!J$181</f>
        <v>2E-3</v>
      </c>
      <c r="K459" s="15">
        <f>'Fiscal Forecasts'!K$181</f>
        <v>2E-3</v>
      </c>
      <c r="L459" s="6">
        <f t="shared" ref="L459:U459" ca="1" si="215">K$459*(1+L$23)*(1+L$30)</f>
        <v>2.0592070546654375E-3</v>
      </c>
      <c r="M459" s="6">
        <f t="shared" ca="1" si="215"/>
        <v>2.1197869274982824E-3</v>
      </c>
      <c r="N459" s="6">
        <f t="shared" ca="1" si="215"/>
        <v>2.1817960143958384E-3</v>
      </c>
      <c r="O459" s="6">
        <f t="shared" ca="1" si="215"/>
        <v>2.2451621656282327E-3</v>
      </c>
      <c r="P459" s="6">
        <f t="shared" ca="1" si="215"/>
        <v>2.3097926742074435E-3</v>
      </c>
      <c r="Q459" s="6">
        <f t="shared" ca="1" si="215"/>
        <v>2.3757224479392922E-3</v>
      </c>
      <c r="R459" s="6">
        <f t="shared" ca="1" si="215"/>
        <v>2.442830471373903E-3</v>
      </c>
      <c r="S459" s="6">
        <f t="shared" ca="1" si="215"/>
        <v>2.5110855288127147E-3</v>
      </c>
      <c r="T459" s="6">
        <f t="shared" ca="1" si="215"/>
        <v>2.5805604054066856E-3</v>
      </c>
      <c r="U459" s="6">
        <f t="shared" ca="1" si="215"/>
        <v>2.6510941639411533E-3</v>
      </c>
    </row>
    <row r="460" spans="1:21" x14ac:dyDescent="0.2">
      <c r="A460" s="1" t="s">
        <v>624</v>
      </c>
      <c r="B460" s="4" t="str">
        <f t="shared" si="208"/>
        <v>From Fiscal</v>
      </c>
      <c r="D460" s="14">
        <f>'Fiscal Forecasts'!D$360</f>
        <v>32.518000000000001</v>
      </c>
      <c r="E460" s="14">
        <f>'Fiscal Forecasts'!E$360</f>
        <v>39.106000000000002</v>
      </c>
      <c r="F460" s="14">
        <f>'Fiscal Forecasts'!F$360</f>
        <v>40.287999999999997</v>
      </c>
      <c r="G460" s="15">
        <f>'Fiscal Forecasts'!G$360</f>
        <v>42.725000000000001</v>
      </c>
      <c r="H460" s="15">
        <f>'Fiscal Forecasts'!H$360</f>
        <v>44.284999999999997</v>
      </c>
      <c r="I460" s="15">
        <f>'Fiscal Forecasts'!I$360</f>
        <v>45.959000000000003</v>
      </c>
      <c r="J460" s="15">
        <f>'Fiscal Forecasts'!J$360</f>
        <v>47.902000000000001</v>
      </c>
      <c r="K460" s="15">
        <f>'Fiscal Forecasts'!K$360</f>
        <v>49.941000000000003</v>
      </c>
      <c r="L460" s="6">
        <f>K$460*Exogenous!S$29/Exogenous!R$29</f>
        <v>51.987204050686742</v>
      </c>
      <c r="M460" s="6">
        <f>L$460*Exogenous!T$29/Exogenous!S$29</f>
        <v>54.126226011608857</v>
      </c>
      <c r="N460" s="6">
        <f>M$460*Exogenous!U$29/Exogenous!T$29</f>
        <v>56.400837266447468</v>
      </c>
      <c r="O460" s="6">
        <f>N$460*Exogenous!V$29/Exogenous!U$29</f>
        <v>58.811451802717698</v>
      </c>
      <c r="P460" s="6">
        <f>O$460*Exogenous!W$29/Exogenous!V$29</f>
        <v>61.354229898803631</v>
      </c>
      <c r="Q460" s="6">
        <f>P$460*Exogenous!X$29/Exogenous!W$29</f>
        <v>64.038447218995955</v>
      </c>
      <c r="R460" s="6">
        <f>Q$460*Exogenous!Y$29/Exogenous!X$29</f>
        <v>66.841922405956197</v>
      </c>
      <c r="S460" s="6">
        <f>R$460*Exogenous!Z$29/Exogenous!Y$29</f>
        <v>69.807972194980223</v>
      </c>
      <c r="T460" s="6">
        <f>S$460*Exogenous!AA$29/Exogenous!Z$29</f>
        <v>72.942203614786962</v>
      </c>
      <c r="U460" s="6">
        <f>T$460*Exogenous!AB$29/Exogenous!AA$29</f>
        <v>76.24773699333349</v>
      </c>
    </row>
    <row r="461" spans="1:21" x14ac:dyDescent="0.2">
      <c r="A461" s="1" t="s">
        <v>625</v>
      </c>
      <c r="B461" s="4" t="str">
        <f t="shared" si="208"/>
        <v>From Fiscal</v>
      </c>
      <c r="D461" s="14">
        <f>SUM('Fiscal Forecasts'!D$361:D$362)-D$459</f>
        <v>3.8899999999999997</v>
      </c>
      <c r="E461" s="14">
        <f>SUM('Fiscal Forecasts'!E$361:E$362)-E$459</f>
        <v>3</v>
      </c>
      <c r="F461" s="14">
        <f>SUM('Fiscal Forecasts'!F$361:F$362)-F$459</f>
        <v>2.4780000000000002</v>
      </c>
      <c r="G461" s="15">
        <f>SUM('Fiscal Forecasts'!G$361:G$362)-G$459</f>
        <v>1.3180000000000001</v>
      </c>
      <c r="H461" s="15">
        <f>SUM('Fiscal Forecasts'!H$361:H$362)-H$459</f>
        <v>0.44499999999999995</v>
      </c>
      <c r="I461" s="15">
        <f>SUM('Fiscal Forecasts'!I$361:I$362)-I$459</f>
        <v>0.309</v>
      </c>
      <c r="J461" s="15">
        <f>SUM('Fiscal Forecasts'!J$361:J$362)-J$459</f>
        <v>0.29199999999999998</v>
      </c>
      <c r="K461" s="15">
        <f>SUM('Fiscal Forecasts'!K$361:K$362)-K$459</f>
        <v>0.29099999999999998</v>
      </c>
      <c r="L461" s="6">
        <f ca="1">(K$461/K$13+ IF(L$2&gt;0,L$2*IF(L$6=OFFSET(Assumptions!$B$8,0,$C$1),SUMPRODUCT(OFFSET(K$461,0,0,1,-OFFSET(Assumptions!$B$84,0,$C$1)),OFFSET(K$15,0,0,1,-OFFSET(Assumptions!$B$84,0,$C$1)))/OFFSET(Assumptions!$B$84,0,$C$1)-K$461/K$13,(K$461/K$13-J$461/J$13)/K$2),0))*L$13</f>
        <v>0.3117364781010909</v>
      </c>
      <c r="M461" s="6">
        <f ca="1">(L$461/L$13+ IF(M$2&gt;0,M$2*IF(M$6=OFFSET(Assumptions!$B$8,0,$C$1),SUMPRODUCT(OFFSET(L$461,0,0,1,-OFFSET(Assumptions!$B$84,0,$C$1)),OFFSET(L$15,0,0,1,-OFFSET(Assumptions!$B$84,0,$C$1)))/OFFSET(Assumptions!$B$84,0,$C$1)-L$461/L$13,(L$461/L$13-K$461/K$13)/L$2),0))*M$13</f>
        <v>0.33188047306897672</v>
      </c>
      <c r="N461" s="6">
        <f ca="1">(M$461/M$13+ IF(N$2&gt;0,N$2*IF(N$6=OFFSET(Assumptions!$B$8,0,$C$1),SUMPRODUCT(OFFSET(M$461,0,0,1,-OFFSET(Assumptions!$B$84,0,$C$1)),OFFSET(M$15,0,0,1,-OFFSET(Assumptions!$B$84,0,$C$1)))/OFFSET(Assumptions!$B$84,0,$C$1)-M$461/M$13,(M$461/M$13-L$461/L$13)/M$2),0))*N$13</f>
        <v>0.35131424098869413</v>
      </c>
      <c r="O461" s="6">
        <f ca="1">(N$461/N$13+ IF(O$2&gt;0,O$2*IF(O$6=OFFSET(Assumptions!$B$8,0,$C$1),SUMPRODUCT(OFFSET(N$461,0,0,1,-OFFSET(Assumptions!$B$84,0,$C$1)),OFFSET(N$15,0,0,1,-OFFSET(Assumptions!$B$84,0,$C$1)))/OFFSET(Assumptions!$B$84,0,$C$1)-N$461/N$13,(N$461/N$13-M$461/M$13)/N$2),0))*O$13</f>
        <v>0.36991684218622117</v>
      </c>
      <c r="P461" s="6">
        <f ca="1">(O$461/O$13+ IF(P$2&gt;0,P$2*IF(P$6=OFFSET(Assumptions!$B$8,0,$C$1),SUMPRODUCT(OFFSET(O$461,0,0,1,-OFFSET(Assumptions!$B$84,0,$C$1)),OFFSET(O$15,0,0,1,-OFFSET(Assumptions!$B$84,0,$C$1)))/OFFSET(Assumptions!$B$84,0,$C$1)-O$461/O$13,(O$461/O$13-N$461/N$13)/O$2),0))*P$13</f>
        <v>0.38763519989465184</v>
      </c>
      <c r="Q461" s="6">
        <f ca="1">(P$461/P$13+ IF(Q$2&gt;0,Q$2*IF(Q$6=OFFSET(Assumptions!$B$8,0,$C$1),SUMPRODUCT(OFFSET(P$461,0,0,1,-OFFSET(Assumptions!$B$84,0,$C$1)),OFFSET(P$15,0,0,1,-OFFSET(Assumptions!$B$84,0,$C$1)))/OFFSET(Assumptions!$B$84,0,$C$1)-P$461/P$13,(P$461/P$13-O$461/O$13)/P$2),0))*Q$13</f>
        <v>0.40429171494017724</v>
      </c>
      <c r="R461" s="6">
        <f ca="1">(Q$461/Q$13+ IF(R$2&gt;0,R$2*IF(R$6=OFFSET(Assumptions!$B$8,0,$C$1),SUMPRODUCT(OFFSET(Q$461,0,0,1,-OFFSET(Assumptions!$B$84,0,$C$1)),OFFSET(Q$15,0,0,1,-OFFSET(Assumptions!$B$84,0,$C$1)))/OFFSET(Assumptions!$B$84,0,$C$1)-Q$461/Q$13,(Q$461/Q$13-P$461/P$13)/Q$2),0))*R$13</f>
        <v>0.42147405545397487</v>
      </c>
      <c r="S461" s="6">
        <f ca="1">(R$461/R$13+ IF(S$2&gt;0,S$2*IF(S$6=OFFSET(Assumptions!$B$8,0,$C$1),SUMPRODUCT(OFFSET(R$461,0,0,1,-OFFSET(Assumptions!$B$84,0,$C$1)),OFFSET(R$15,0,0,1,-OFFSET(Assumptions!$B$84,0,$C$1)))/OFFSET(Assumptions!$B$84,0,$C$1)-R$461/R$13,(R$461/R$13-Q$461/Q$13)/R$2),0))*S$13</f>
        <v>0.43923339532483857</v>
      </c>
      <c r="T461" s="6">
        <f ca="1">(S$461/S$13+ IF(T$2&gt;0,T$2*IF(T$6=OFFSET(Assumptions!$B$8,0,$C$1),SUMPRODUCT(OFFSET(S$461,0,0,1,-OFFSET(Assumptions!$B$84,0,$C$1)),OFFSET(S$15,0,0,1,-OFFSET(Assumptions!$B$84,0,$C$1)))/OFFSET(Assumptions!$B$84,0,$C$1)-S$461/S$13,(S$461/S$13-R$461/R$13)/S$2),0))*T$13</f>
        <v>0.45758589518035869</v>
      </c>
      <c r="U461" s="6">
        <f ca="1">(T$461/T$13+ IF(U$2&gt;0,U$2*IF(U$6=OFFSET(Assumptions!$B$8,0,$C$1),SUMPRODUCT(OFFSET(T$461,0,0,1,-OFFSET(Assumptions!$B$84,0,$C$1)),OFFSET(T$15,0,0,1,-OFFSET(Assumptions!$B$84,0,$C$1)))/OFFSET(Assumptions!$B$84,0,$C$1)-T$461/T$13,(T$461/T$13-S$461/S$13)/T$2),0))*U$13</f>
        <v>0.47658703355098603</v>
      </c>
    </row>
    <row r="462" spans="1:21" ht="15" x14ac:dyDescent="0.25">
      <c r="A462" s="2" t="s">
        <v>626</v>
      </c>
      <c r="B462" s="4"/>
      <c r="D462" s="34">
        <f t="shared" ref="D462:U462" si="216">SUM(D$459:D$461)</f>
        <v>36.431000000000004</v>
      </c>
      <c r="E462" s="34">
        <f t="shared" si="216"/>
        <v>42.126000000000005</v>
      </c>
      <c r="F462" s="34">
        <f t="shared" si="216"/>
        <v>42.786000000000001</v>
      </c>
      <c r="G462" s="33">
        <f t="shared" si="216"/>
        <v>44.109000000000002</v>
      </c>
      <c r="H462" s="33">
        <f t="shared" si="216"/>
        <v>44.731999999999999</v>
      </c>
      <c r="I462" s="33">
        <f t="shared" si="216"/>
        <v>46.27</v>
      </c>
      <c r="J462" s="33">
        <f t="shared" si="216"/>
        <v>48.196000000000005</v>
      </c>
      <c r="K462" s="33">
        <f t="shared" si="216"/>
        <v>50.234000000000002</v>
      </c>
      <c r="L462" s="37">
        <f t="shared" ca="1" si="216"/>
        <v>52.300999735842495</v>
      </c>
      <c r="M462" s="37">
        <f t="shared" ca="1" si="216"/>
        <v>54.460226271605336</v>
      </c>
      <c r="N462" s="37">
        <f t="shared" ca="1" si="216"/>
        <v>56.754333303450558</v>
      </c>
      <c r="O462" s="37">
        <f t="shared" ca="1" si="216"/>
        <v>59.183613807069548</v>
      </c>
      <c r="P462" s="37">
        <f t="shared" ca="1" si="216"/>
        <v>61.744174891372488</v>
      </c>
      <c r="Q462" s="37">
        <f t="shared" ca="1" si="216"/>
        <v>64.445114656384064</v>
      </c>
      <c r="R462" s="37">
        <f t="shared" ca="1" si="216"/>
        <v>67.265839291881548</v>
      </c>
      <c r="S462" s="37">
        <f t="shared" ca="1" si="216"/>
        <v>70.249716675833866</v>
      </c>
      <c r="T462" s="37">
        <f t="shared" ca="1" si="216"/>
        <v>73.402370070372726</v>
      </c>
      <c r="U462" s="37">
        <f t="shared" ca="1" si="216"/>
        <v>76.726975121048412</v>
      </c>
    </row>
    <row r="463" spans="1:21" ht="15" x14ac:dyDescent="0.25">
      <c r="A463" s="2"/>
      <c r="B463" s="4"/>
      <c r="D463" s="46"/>
      <c r="E463" s="46"/>
      <c r="F463" s="46"/>
      <c r="G463" s="47"/>
      <c r="H463" s="47"/>
      <c r="I463" s="47"/>
      <c r="J463" s="47"/>
      <c r="K463" s="47"/>
      <c r="L463" s="48"/>
      <c r="M463" s="48"/>
      <c r="N463" s="48"/>
      <c r="O463" s="48"/>
      <c r="P463" s="48"/>
      <c r="Q463" s="48"/>
      <c r="R463" s="48"/>
      <c r="S463" s="48"/>
      <c r="T463" s="48"/>
      <c r="U463" s="48"/>
    </row>
    <row r="464" spans="1:21" ht="15" x14ac:dyDescent="0.25">
      <c r="A464" s="18" t="s">
        <v>628</v>
      </c>
      <c r="B464" s="4"/>
      <c r="D464" s="46"/>
      <c r="E464" s="46"/>
      <c r="F464" s="46"/>
      <c r="G464" s="47"/>
      <c r="H464" s="47"/>
      <c r="I464" s="47"/>
      <c r="J464" s="47"/>
      <c r="K464" s="47"/>
      <c r="L464" s="48"/>
      <c r="M464" s="48"/>
      <c r="N464" s="48"/>
      <c r="O464" s="48"/>
      <c r="P464" s="48"/>
      <c r="Q464" s="48"/>
      <c r="R464" s="48"/>
      <c r="S464" s="48"/>
      <c r="T464" s="48"/>
      <c r="U464" s="48"/>
    </row>
    <row r="465" spans="1:21" ht="15" x14ac:dyDescent="0.25">
      <c r="A465" s="2" t="s">
        <v>629</v>
      </c>
      <c r="B465" s="4" t="str">
        <f>$B$37</f>
        <v>From Fiscal</v>
      </c>
      <c r="D465" s="14">
        <f>'Fiscal Forecasts'!D$182</f>
        <v>10.843999999999999</v>
      </c>
      <c r="E465" s="14">
        <f>'Fiscal Forecasts'!E$182</f>
        <v>12.443</v>
      </c>
      <c r="F465" s="14">
        <f>'Fiscal Forecasts'!F$182</f>
        <v>11.004</v>
      </c>
      <c r="G465" s="15">
        <f>'Fiscal Forecasts'!G$182</f>
        <v>10.577</v>
      </c>
      <c r="H465" s="15">
        <f>'Fiscal Forecasts'!H$182</f>
        <v>9.9849999999999994</v>
      </c>
      <c r="I465" s="15">
        <f>'Fiscal Forecasts'!I$182</f>
        <v>9.4130000000000003</v>
      </c>
      <c r="J465" s="15">
        <f>'Fiscal Forecasts'!J$182</f>
        <v>8.8729999999999993</v>
      </c>
      <c r="K465" s="15">
        <f>'Fiscal Forecasts'!K$182</f>
        <v>8.359</v>
      </c>
      <c r="L465" s="6">
        <f>K$465*(Exogenous!S$34-Exogenous!S$33)/(Exogenous!R$34-Exogenous!R$33)</f>
        <v>8.0733186059584057</v>
      </c>
      <c r="M465" s="6">
        <f>L$465*(Exogenous!T$34-Exogenous!T$33)/(Exogenous!S$34-Exogenous!S$33)</f>
        <v>7.7913961776278811</v>
      </c>
      <c r="N465" s="6">
        <f>M$465*(Exogenous!U$34-Exogenous!U$33)/(Exogenous!T$34-Exogenous!T$33)</f>
        <v>7.514172456436202</v>
      </c>
      <c r="O465" s="6">
        <f>N$465*(Exogenous!V$34-Exogenous!V$33)/(Exogenous!U$34-Exogenous!U$33)</f>
        <v>7.2454064080944374</v>
      </c>
      <c r="P465" s="6">
        <f>O$465*(Exogenous!W$34-Exogenous!W$33)/(Exogenous!V$34-Exogenous!V$33)</f>
        <v>6.9822788083192817</v>
      </c>
      <c r="Q465" s="6">
        <f>P$465*(Exogenous!X$34-Exogenous!X$33)/(Exogenous!W$34-Exogenous!W$33)</f>
        <v>6.7219704328274332</v>
      </c>
      <c r="R465" s="6">
        <f>Q$465*(Exogenous!Y$34-Exogenous!Y$33)/(Exogenous!X$34-Exogenous!X$33)</f>
        <v>6.4550838673412043</v>
      </c>
      <c r="S465" s="6">
        <f>R$465*(Exogenous!Z$34-Exogenous!Z$33)/(Exogenous!Y$34-Exogenous!Y$33)</f>
        <v>6.1834985947161352</v>
      </c>
      <c r="T465" s="6">
        <f>S$465*(Exogenous!AA$34-Exogenous!AA$33)/(Exogenous!Z$34-Exogenous!Z$33)</f>
        <v>5.9062748735244535</v>
      </c>
      <c r="U465" s="6">
        <f>T$465*(Exogenous!AB$34-Exogenous!AB$33)/(Exogenous!AA$34-Exogenous!AA$33)</f>
        <v>5.6262319280494681</v>
      </c>
    </row>
    <row r="466" spans="1:21" x14ac:dyDescent="0.2">
      <c r="A466" s="1" t="s">
        <v>630</v>
      </c>
      <c r="B466" s="4" t="str">
        <f>$B$37</f>
        <v>From Fiscal</v>
      </c>
      <c r="D466" s="14">
        <f>'Fiscal Forecasts'!D$132-D$465</f>
        <v>-9.9999999999997868E-3</v>
      </c>
      <c r="E466" s="14">
        <f>'Fiscal Forecasts'!E$132-E$465</f>
        <v>-9.9999999999944578E-4</v>
      </c>
      <c r="F466" s="14">
        <f>'Fiscal Forecasts'!F$132-F$465</f>
        <v>2.0000000000006679E-3</v>
      </c>
      <c r="G466" s="15">
        <f>'Fiscal Forecasts'!G$132-G$465</f>
        <v>2.0000000000006679E-3</v>
      </c>
      <c r="H466" s="15">
        <f>'Fiscal Forecasts'!H$132-H$465</f>
        <v>2.0000000000006679E-3</v>
      </c>
      <c r="I466" s="15">
        <f>'Fiscal Forecasts'!I$132-I$465</f>
        <v>1.9999999999988916E-3</v>
      </c>
      <c r="J466" s="15">
        <f>'Fiscal Forecasts'!J$132-J$465</f>
        <v>2.0000000000006679E-3</v>
      </c>
      <c r="K466" s="15">
        <f>'Fiscal Forecasts'!K$132-K$465</f>
        <v>2.0000000000006679E-3</v>
      </c>
      <c r="L466" s="6">
        <f ca="1">IF(L$6=OFFSET(Assumptions!$B$8,0,$C$1),0,K$466)</f>
        <v>0</v>
      </c>
      <c r="M466" s="6">
        <f ca="1">IF(M$6=OFFSET(Assumptions!$B$8,0,$C$1),0,L$466)</f>
        <v>0</v>
      </c>
      <c r="N466" s="6">
        <f ca="1">IF(N$6=OFFSET(Assumptions!$B$8,0,$C$1),0,M$466)</f>
        <v>0</v>
      </c>
      <c r="O466" s="6">
        <f ca="1">IF(O$6=OFFSET(Assumptions!$B$8,0,$C$1),0,N$466)</f>
        <v>0</v>
      </c>
      <c r="P466" s="6">
        <f ca="1">IF(P$6=OFFSET(Assumptions!$B$8,0,$C$1),0,O$466)</f>
        <v>0</v>
      </c>
      <c r="Q466" s="6">
        <f ca="1">IF(Q$6=OFFSET(Assumptions!$B$8,0,$C$1),0,P$466)</f>
        <v>0</v>
      </c>
      <c r="R466" s="6">
        <f ca="1">IF(R$6=OFFSET(Assumptions!$B$8,0,$C$1),0,Q$466)</f>
        <v>0</v>
      </c>
      <c r="S466" s="6">
        <f ca="1">IF(S$6=OFFSET(Assumptions!$B$8,0,$C$1),0,R$466)</f>
        <v>0</v>
      </c>
      <c r="T466" s="6">
        <f ca="1">IF(T$6=OFFSET(Assumptions!$B$8,0,$C$1),0,S$466)</f>
        <v>0</v>
      </c>
      <c r="U466" s="6">
        <f ca="1">IF(U$6=OFFSET(Assumptions!$B$8,0,$C$1),0,T$466)</f>
        <v>0</v>
      </c>
    </row>
    <row r="467" spans="1:21" ht="15" x14ac:dyDescent="0.25">
      <c r="A467" s="2" t="s">
        <v>631</v>
      </c>
      <c r="B467" s="4"/>
      <c r="D467" s="34">
        <f t="shared" ref="D467:U467" si="217">SUM(D$465:D$466)</f>
        <v>10.834</v>
      </c>
      <c r="E467" s="34">
        <f t="shared" si="217"/>
        <v>12.442</v>
      </c>
      <c r="F467" s="34">
        <f t="shared" si="217"/>
        <v>11.006</v>
      </c>
      <c r="G467" s="33">
        <f t="shared" si="217"/>
        <v>10.579000000000001</v>
      </c>
      <c r="H467" s="33">
        <f t="shared" si="217"/>
        <v>9.9870000000000001</v>
      </c>
      <c r="I467" s="33">
        <f t="shared" si="217"/>
        <v>9.4149999999999991</v>
      </c>
      <c r="J467" s="33">
        <f t="shared" si="217"/>
        <v>8.875</v>
      </c>
      <c r="K467" s="33">
        <f t="shared" si="217"/>
        <v>8.3610000000000007</v>
      </c>
      <c r="L467" s="37">
        <f t="shared" ca="1" si="217"/>
        <v>8.0733186059584057</v>
      </c>
      <c r="M467" s="37">
        <f t="shared" ca="1" si="217"/>
        <v>7.7913961776278811</v>
      </c>
      <c r="N467" s="37">
        <f t="shared" ca="1" si="217"/>
        <v>7.514172456436202</v>
      </c>
      <c r="O467" s="37">
        <f t="shared" ca="1" si="217"/>
        <v>7.2454064080944374</v>
      </c>
      <c r="P467" s="37">
        <f t="shared" ca="1" si="217"/>
        <v>6.9822788083192817</v>
      </c>
      <c r="Q467" s="37">
        <f t="shared" ca="1" si="217"/>
        <v>6.7219704328274332</v>
      </c>
      <c r="R467" s="37">
        <f t="shared" ca="1" si="217"/>
        <v>6.4550838673412043</v>
      </c>
      <c r="S467" s="37">
        <f t="shared" ca="1" si="217"/>
        <v>6.1834985947161352</v>
      </c>
      <c r="T467" s="37">
        <f t="shared" ca="1" si="217"/>
        <v>5.9062748735244535</v>
      </c>
      <c r="U467" s="37">
        <f t="shared" ca="1" si="217"/>
        <v>5.6262319280494681</v>
      </c>
    </row>
    <row r="468" spans="1:21" ht="15" x14ac:dyDescent="0.25">
      <c r="A468" s="2"/>
      <c r="B468" s="4"/>
      <c r="D468" s="46"/>
      <c r="E468" s="46"/>
      <c r="F468" s="46"/>
      <c r="G468" s="47"/>
      <c r="H468" s="47"/>
      <c r="I468" s="47"/>
      <c r="J468" s="47"/>
      <c r="K468" s="47"/>
      <c r="L468" s="48"/>
      <c r="M468" s="48"/>
      <c r="N468" s="48"/>
      <c r="O468" s="48"/>
      <c r="P468" s="48"/>
      <c r="Q468" s="48"/>
      <c r="R468" s="48"/>
      <c r="S468" s="48"/>
      <c r="T468" s="48"/>
      <c r="U468" s="48"/>
    </row>
    <row r="469" spans="1:21" x14ac:dyDescent="0.2">
      <c r="A469" s="18" t="s">
        <v>231</v>
      </c>
      <c r="B469" s="4"/>
    </row>
    <row r="470" spans="1:21" ht="15" x14ac:dyDescent="0.25">
      <c r="A470" s="2" t="s">
        <v>632</v>
      </c>
      <c r="B470" s="4" t="str">
        <f>$B$37</f>
        <v>From Fiscal</v>
      </c>
      <c r="D470" s="46">
        <f>'Fiscal Forecasts'!D$183</f>
        <v>4.8550000000000004</v>
      </c>
      <c r="E470" s="46">
        <f>'Fiscal Forecasts'!E$183</f>
        <v>6.633</v>
      </c>
      <c r="F470" s="46">
        <f>'Fiscal Forecasts'!F$183</f>
        <v>6.5330000000000004</v>
      </c>
      <c r="G470" s="38">
        <f>'Fiscal Forecasts'!G$183</f>
        <v>6.6589999999999998</v>
      </c>
      <c r="H470" s="38">
        <f>'Fiscal Forecasts'!H$183</f>
        <v>5.9729999999999999</v>
      </c>
      <c r="I470" s="38">
        <f>'Fiscal Forecasts'!I$183</f>
        <v>5.3739999999999997</v>
      </c>
      <c r="J470" s="38">
        <f>'Fiscal Forecasts'!J$183</f>
        <v>5.2320000000000002</v>
      </c>
      <c r="K470" s="38">
        <f>'Fiscal Forecasts'!K$183</f>
        <v>4.657</v>
      </c>
      <c r="L470" s="7">
        <f t="shared" ref="L470:U470" ca="1" si="218">K$470*(1+L$23)*(1+L$30)</f>
        <v>4.7948636267884712</v>
      </c>
      <c r="M470" s="7">
        <f t="shared" ca="1" si="218"/>
        <v>4.9359238606797504</v>
      </c>
      <c r="N470" s="7">
        <f t="shared" ca="1" si="218"/>
        <v>5.0803120195207097</v>
      </c>
      <c r="O470" s="7">
        <f t="shared" ca="1" si="218"/>
        <v>5.2278601026653391</v>
      </c>
      <c r="P470" s="7">
        <f t="shared" ca="1" si="218"/>
        <v>5.3783522418920322</v>
      </c>
      <c r="Q470" s="7">
        <f t="shared" ca="1" si="218"/>
        <v>5.5318697200266413</v>
      </c>
      <c r="R470" s="7">
        <f t="shared" ca="1" si="218"/>
        <v>5.688130752594132</v>
      </c>
      <c r="S470" s="7">
        <f t="shared" ca="1" si="218"/>
        <v>5.8470626538404042</v>
      </c>
      <c r="T470" s="7">
        <f t="shared" ca="1" si="218"/>
        <v>6.0088349039894657</v>
      </c>
      <c r="U470" s="7">
        <f t="shared" ca="1" si="218"/>
        <v>6.1730727607369742</v>
      </c>
    </row>
    <row r="471" spans="1:21" ht="15" x14ac:dyDescent="0.25">
      <c r="A471" s="2" t="s">
        <v>633</v>
      </c>
      <c r="B471" s="4" t="str">
        <f>$B$37</f>
        <v>From Fiscal</v>
      </c>
      <c r="D471" s="46">
        <f>'Fiscal Forecasts'!D$133</f>
        <v>7.2210000000000001</v>
      </c>
      <c r="E471" s="46">
        <f>'Fiscal Forecasts'!E$133</f>
        <v>8.7119999999999997</v>
      </c>
      <c r="F471" s="46">
        <f>'Fiscal Forecasts'!F$133</f>
        <v>8.5410000000000004</v>
      </c>
      <c r="G471" s="38">
        <f>'Fiscal Forecasts'!G$133</f>
        <v>8.9049999999999994</v>
      </c>
      <c r="H471" s="38">
        <f>'Fiscal Forecasts'!H$133</f>
        <v>8.4730000000000008</v>
      </c>
      <c r="I471" s="38">
        <f>'Fiscal Forecasts'!I$133</f>
        <v>8.0540000000000003</v>
      </c>
      <c r="J471" s="38">
        <f>'Fiscal Forecasts'!J$133</f>
        <v>7.9550000000000001</v>
      </c>
      <c r="K471" s="38">
        <f>'Fiscal Forecasts'!K$133</f>
        <v>7.069</v>
      </c>
      <c r="L471" s="7">
        <f t="shared" ref="L471:U471" ca="1" si="219">L$470+(K$471-K$470)*(1+L$23)*(1+L$30)</f>
        <v>7.2782673347149895</v>
      </c>
      <c r="M471" s="7">
        <f t="shared" ca="1" si="219"/>
        <v>7.4923868952426798</v>
      </c>
      <c r="N471" s="7">
        <f t="shared" ca="1" si="219"/>
        <v>7.711558012882092</v>
      </c>
      <c r="O471" s="7">
        <f t="shared" ca="1" si="219"/>
        <v>7.9355256744129878</v>
      </c>
      <c r="P471" s="7">
        <f t="shared" ca="1" si="219"/>
        <v>8.1639622069862092</v>
      </c>
      <c r="Q471" s="7">
        <f t="shared" ca="1" si="219"/>
        <v>8.3969909922414274</v>
      </c>
      <c r="R471" s="7">
        <f t="shared" ca="1" si="219"/>
        <v>8.6341843010710591</v>
      </c>
      <c r="S471" s="7">
        <f t="shared" ca="1" si="219"/>
        <v>8.8754318015885367</v>
      </c>
      <c r="T471" s="7">
        <f t="shared" ca="1" si="219"/>
        <v>9.1209907529099272</v>
      </c>
      <c r="U471" s="7">
        <f t="shared" ca="1" si="219"/>
        <v>9.3702923224500037</v>
      </c>
    </row>
    <row r="473" spans="1:21" x14ac:dyDescent="0.2">
      <c r="A473" s="18" t="s">
        <v>561</v>
      </c>
    </row>
    <row r="474" spans="1:21" x14ac:dyDescent="0.2">
      <c r="A474" s="1" t="s">
        <v>378</v>
      </c>
      <c r="B474" s="4" t="str">
        <f t="shared" ref="B474:B479" si="220">$B$37</f>
        <v>From Fiscal</v>
      </c>
      <c r="D474" s="14">
        <f>'Fiscal Forecasts'!D$366</f>
        <v>66.347999999999999</v>
      </c>
      <c r="E474" s="14">
        <f>'Fiscal Forecasts'!E$366</f>
        <v>69.75</v>
      </c>
      <c r="F474" s="14">
        <f>'Fiscal Forecasts'!F$366</f>
        <v>74.728999999999999</v>
      </c>
      <c r="G474" s="15">
        <f>'Fiscal Forecasts'!G$366</f>
        <v>79.444999999999993</v>
      </c>
      <c r="H474" s="15">
        <f>'Fiscal Forecasts'!H$366</f>
        <v>83.525000000000006</v>
      </c>
      <c r="I474" s="15">
        <f>'Fiscal Forecasts'!I$366</f>
        <v>88.677000000000007</v>
      </c>
      <c r="J474" s="15">
        <f>'Fiscal Forecasts'!J$366</f>
        <v>93.591999999999999</v>
      </c>
      <c r="K474" s="15">
        <f>'Fiscal Forecasts'!K$366</f>
        <v>98.763999999999996</v>
      </c>
      <c r="L474" s="6">
        <f ca="1">SUM(L$132,L$367,L$449-K$449)-SUM(L$342-K$342,L$264)</f>
        <v>103.1871724800779</v>
      </c>
      <c r="M474" s="6">
        <f t="shared" ref="M474:U474" ca="1" si="221">SUM(M$132,M$367,M$449-L$449)-SUM(M$342-L$342,M$264)</f>
        <v>108.27972086193905</v>
      </c>
      <c r="N474" s="6">
        <f t="shared" ca="1" si="221"/>
        <v>113.23255856573542</v>
      </c>
      <c r="O474" s="6">
        <f t="shared" ca="1" si="221"/>
        <v>118.28611178165134</v>
      </c>
      <c r="P474" s="6">
        <f t="shared" ca="1" si="221"/>
        <v>123.51286385003895</v>
      </c>
      <c r="Q474" s="6">
        <f t="shared" ca="1" si="221"/>
        <v>128.88327479151457</v>
      </c>
      <c r="R474" s="6">
        <f t="shared" ca="1" si="221"/>
        <v>134.42089554166284</v>
      </c>
      <c r="S474" s="6">
        <f t="shared" ca="1" si="221"/>
        <v>140.14210781689297</v>
      </c>
      <c r="T474" s="6">
        <f t="shared" ca="1" si="221"/>
        <v>146.05360549232321</v>
      </c>
      <c r="U474" s="6">
        <f t="shared" ca="1" si="221"/>
        <v>152.17200387241843</v>
      </c>
    </row>
    <row r="475" spans="1:21" x14ac:dyDescent="0.2">
      <c r="A475" s="1" t="s">
        <v>176</v>
      </c>
      <c r="B475" s="4" t="str">
        <f t="shared" si="220"/>
        <v>From Fiscal</v>
      </c>
      <c r="D475" s="14">
        <f>'Fiscal Forecasts'!D$367</f>
        <v>0.88900000000000001</v>
      </c>
      <c r="E475" s="14">
        <f>'Fiscal Forecasts'!E$367</f>
        <v>0.83499999999999996</v>
      </c>
      <c r="F475" s="14">
        <f>'Fiscal Forecasts'!F$367</f>
        <v>0.95499999999999996</v>
      </c>
      <c r="G475" s="15">
        <f>'Fiscal Forecasts'!G$367</f>
        <v>0.94399999999999995</v>
      </c>
      <c r="H475" s="15">
        <f>'Fiscal Forecasts'!H$367</f>
        <v>0.95199999999999996</v>
      </c>
      <c r="I475" s="15">
        <f>'Fiscal Forecasts'!I$367</f>
        <v>0.92100000000000004</v>
      </c>
      <c r="J475" s="15">
        <f>'Fiscal Forecasts'!J$367</f>
        <v>0.91900000000000004</v>
      </c>
      <c r="K475" s="15">
        <f>'Fiscal Forecasts'!K$367</f>
        <v>0.93200000000000005</v>
      </c>
      <c r="L475" s="6">
        <f ca="1">L$136</f>
        <v>1.0076951954222257</v>
      </c>
      <c r="M475" s="6">
        <f t="shared" ref="M475:U475" ca="1" si="222">M$136</f>
        <v>1.0536419986298213</v>
      </c>
      <c r="N475" s="6">
        <f t="shared" ca="1" si="222"/>
        <v>1.1005905047296278</v>
      </c>
      <c r="O475" s="6">
        <f t="shared" ca="1" si="222"/>
        <v>1.1487411709561992</v>
      </c>
      <c r="P475" s="6">
        <f t="shared" ca="1" si="222"/>
        <v>1.198526938178313</v>
      </c>
      <c r="Q475" s="6">
        <f t="shared" ca="1" si="222"/>
        <v>1.2500271166545196</v>
      </c>
      <c r="R475" s="6">
        <f t="shared" ca="1" si="222"/>
        <v>1.3031530917267933</v>
      </c>
      <c r="S475" s="6">
        <f t="shared" ca="1" si="222"/>
        <v>1.3580630876334574</v>
      </c>
      <c r="T475" s="6">
        <f t="shared" ca="1" si="222"/>
        <v>1.4148070713215548</v>
      </c>
      <c r="U475" s="6">
        <f t="shared" ca="1" si="222"/>
        <v>1.4735565765250027</v>
      </c>
    </row>
    <row r="476" spans="1:21" x14ac:dyDescent="0.2">
      <c r="A476" s="1" t="s">
        <v>379</v>
      </c>
      <c r="B476" s="4" t="str">
        <f t="shared" si="220"/>
        <v>From Fiscal</v>
      </c>
      <c r="D476" s="14">
        <f>'Fiscal Forecasts'!D$369</f>
        <v>3.319</v>
      </c>
      <c r="E476" s="14">
        <f>'Fiscal Forecasts'!E$369</f>
        <v>2.8860000000000001</v>
      </c>
      <c r="F476" s="14">
        <f>'Fiscal Forecasts'!F$369</f>
        <v>3.34</v>
      </c>
      <c r="G476" s="15">
        <f>'Fiscal Forecasts'!G$369</f>
        <v>3.194</v>
      </c>
      <c r="H476" s="15">
        <f>'Fiscal Forecasts'!H$369</f>
        <v>3.3239999999999998</v>
      </c>
      <c r="I476" s="15">
        <f>'Fiscal Forecasts'!I$369</f>
        <v>3.3260000000000001</v>
      </c>
      <c r="J476" s="15">
        <f>'Fiscal Forecasts'!J$369</f>
        <v>3.1320000000000001</v>
      </c>
      <c r="K476" s="15">
        <f>'Fiscal Forecasts'!K$369</f>
        <v>3.07</v>
      </c>
      <c r="L476" s="6">
        <f ca="1">SUM(L$143,L$158,L$166)</f>
        <v>3.5842313596498725</v>
      </c>
      <c r="M476" s="6">
        <f t="shared" ref="M476:U476" ca="1" si="223">SUM(M$143,M$158,M$166)</f>
        <v>3.7889456106297641</v>
      </c>
      <c r="N476" s="6">
        <f t="shared" ca="1" si="223"/>
        <v>4.0044440785051583</v>
      </c>
      <c r="O476" s="6">
        <f t="shared" ca="1" si="223"/>
        <v>4.2336522463132997</v>
      </c>
      <c r="P476" s="6">
        <f t="shared" ca="1" si="223"/>
        <v>4.4805693181336999</v>
      </c>
      <c r="Q476" s="6">
        <f t="shared" ca="1" si="223"/>
        <v>4.74860418561813</v>
      </c>
      <c r="R476" s="6">
        <f t="shared" ca="1" si="223"/>
        <v>5.0345998499326416</v>
      </c>
      <c r="S476" s="6">
        <f t="shared" ca="1" si="223"/>
        <v>5.2470391447614677</v>
      </c>
      <c r="T476" s="6">
        <f t="shared" ca="1" si="223"/>
        <v>5.466580239618299</v>
      </c>
      <c r="U476" s="6">
        <f t="shared" ca="1" si="223"/>
        <v>5.6938101895379374</v>
      </c>
    </row>
    <row r="477" spans="1:21" x14ac:dyDescent="0.2">
      <c r="A477" s="1" t="s">
        <v>1249</v>
      </c>
      <c r="B477" s="4" t="str">
        <f t="shared" si="220"/>
        <v>From Fiscal</v>
      </c>
      <c r="D477" s="14">
        <f>'Fiscal Forecasts'!D$368</f>
        <v>0.92</v>
      </c>
      <c r="E477" s="14">
        <f>'Fiscal Forecasts'!E$368</f>
        <v>0.83899999999999997</v>
      </c>
      <c r="F477" s="14">
        <f>'Fiscal Forecasts'!F$368</f>
        <v>0.68799999999999994</v>
      </c>
      <c r="G477" s="15">
        <f>'Fiscal Forecasts'!G$368</f>
        <v>0.67</v>
      </c>
      <c r="H477" s="15">
        <f>'Fiscal Forecasts'!H$368</f>
        <v>0.69199999999999995</v>
      </c>
      <c r="I477" s="15">
        <f>'Fiscal Forecasts'!I$368</f>
        <v>0.64600000000000002</v>
      </c>
      <c r="J477" s="15">
        <f>'Fiscal Forecasts'!J$368</f>
        <v>0.81499999999999995</v>
      </c>
      <c r="K477" s="15">
        <f>'Fiscal Forecasts'!K$368</f>
        <v>0.77</v>
      </c>
      <c r="L477" s="6">
        <f ca="1">SUM(L$149,L$323)</f>
        <v>0.42052963795077414</v>
      </c>
      <c r="M477" s="6">
        <f t="shared" ref="M477:U477" ca="1" si="224">SUM(M$149,M$323)</f>
        <v>0.46612760964597988</v>
      </c>
      <c r="N477" s="6">
        <f t="shared" ca="1" si="224"/>
        <v>0.51325892357454428</v>
      </c>
      <c r="O477" s="6">
        <f t="shared" ca="1" si="224"/>
        <v>0.56138276029498069</v>
      </c>
      <c r="P477" s="6">
        <f t="shared" ca="1" si="224"/>
        <v>0.60996065475906902</v>
      </c>
      <c r="Q477" s="6">
        <f t="shared" ca="1" si="224"/>
        <v>0.65827324160607903</v>
      </c>
      <c r="R477" s="6">
        <f t="shared" ca="1" si="224"/>
        <v>0.70749248465208336</v>
      </c>
      <c r="S477" s="6">
        <f t="shared" ca="1" si="224"/>
        <v>0.73737929851309936</v>
      </c>
      <c r="T477" s="6">
        <f t="shared" ca="1" si="224"/>
        <v>0.76826593132948851</v>
      </c>
      <c r="U477" s="6">
        <f t="shared" ca="1" si="224"/>
        <v>0.80022642059702975</v>
      </c>
    </row>
    <row r="478" spans="1:21" x14ac:dyDescent="0.2">
      <c r="A478" s="1" t="s">
        <v>566</v>
      </c>
      <c r="B478" s="4" t="str">
        <f t="shared" si="220"/>
        <v>From Fiscal</v>
      </c>
      <c r="D478" s="14">
        <f>'Fiscal Forecasts'!D$370</f>
        <v>23.895</v>
      </c>
      <c r="E478" s="14">
        <f>'Fiscal Forecasts'!E$370</f>
        <v>24.338000000000001</v>
      </c>
      <c r="F478" s="14">
        <f>'Fiscal Forecasts'!F$370</f>
        <v>25.292999999999999</v>
      </c>
      <c r="G478" s="15">
        <f>'Fiscal Forecasts'!G$370</f>
        <v>26.404</v>
      </c>
      <c r="H478" s="15">
        <f>'Fiscal Forecasts'!H$370</f>
        <v>29.308</v>
      </c>
      <c r="I478" s="15">
        <f>'Fiscal Forecasts'!I$370</f>
        <v>30.443000000000001</v>
      </c>
      <c r="J478" s="15">
        <f>'Fiscal Forecasts'!J$370</f>
        <v>31.709</v>
      </c>
      <c r="K478" s="15">
        <f>'Fiscal Forecasts'!K$370</f>
        <v>33.100999999999999</v>
      </c>
      <c r="L478" s="6">
        <f t="shared" ref="L478:U478" ca="1" si="225">L$183</f>
        <v>34.363565151060456</v>
      </c>
      <c r="M478" s="6">
        <f t="shared" ca="1" si="225"/>
        <v>36.108246773116122</v>
      </c>
      <c r="N478" s="6">
        <f t="shared" ca="1" si="225"/>
        <v>37.974275604287286</v>
      </c>
      <c r="O478" s="6">
        <f t="shared" ca="1" si="225"/>
        <v>39.960316226370615</v>
      </c>
      <c r="P478" s="6">
        <f t="shared" ca="1" si="225"/>
        <v>42.040429754017381</v>
      </c>
      <c r="Q478" s="6">
        <f t="shared" ca="1" si="225"/>
        <v>44.200502396927334</v>
      </c>
      <c r="R478" s="6">
        <f t="shared" ca="1" si="225"/>
        <v>46.410566163426076</v>
      </c>
      <c r="S478" s="6">
        <f t="shared" ca="1" si="225"/>
        <v>48.640953069460416</v>
      </c>
      <c r="T478" s="6">
        <f t="shared" ca="1" si="225"/>
        <v>50.93565712152116</v>
      </c>
      <c r="U478" s="6">
        <f t="shared" ca="1" si="225"/>
        <v>53.312754786873192</v>
      </c>
    </row>
    <row r="479" spans="1:21" x14ac:dyDescent="0.2">
      <c r="A479" s="1" t="s">
        <v>567</v>
      </c>
      <c r="B479" s="4" t="str">
        <f t="shared" si="220"/>
        <v>From Fiscal</v>
      </c>
      <c r="D479" s="14">
        <f>'Fiscal Forecasts'!D$371</f>
        <v>42.064</v>
      </c>
      <c r="E479" s="14">
        <f>'Fiscal Forecasts'!E$371</f>
        <v>43.103000000000002</v>
      </c>
      <c r="F479" s="14">
        <f>'Fiscal Forecasts'!F$371</f>
        <v>44.581000000000003</v>
      </c>
      <c r="G479" s="15">
        <f>'Fiscal Forecasts'!G$371</f>
        <v>48.984999999999999</v>
      </c>
      <c r="H479" s="15">
        <f>'Fiscal Forecasts'!H$371</f>
        <v>51.170999999999999</v>
      </c>
      <c r="I479" s="15">
        <f>'Fiscal Forecasts'!I$371</f>
        <v>50.46</v>
      </c>
      <c r="J479" s="15">
        <f>'Fiscal Forecasts'!J$371</f>
        <v>50.594999999999999</v>
      </c>
      <c r="K479" s="15">
        <f>'Fiscal Forecasts'!K$371</f>
        <v>50.375</v>
      </c>
      <c r="L479" s="6">
        <f ca="1">SUM(L$196,L$213,L$228)-SUM(L$209,L$254,L$262,L$264,L$304,L$459-K$459,L$465-K$465)</f>
        <v>50.094593887005772</v>
      </c>
      <c r="M479" s="6">
        <f t="shared" ref="M479:U479" ca="1" si="226">SUM(M$196,M$213,M$228)-SUM(M$209,M$254,M$262,M$264,M$304,M$459-L$459,M$465-L$465)</f>
        <v>50.324830519582925</v>
      </c>
      <c r="N479" s="6">
        <f t="shared" ca="1" si="226"/>
        <v>50.254776762495574</v>
      </c>
      <c r="O479" s="6">
        <f t="shared" ca="1" si="226"/>
        <v>50.127410305903624</v>
      </c>
      <c r="P479" s="6">
        <f t="shared" ca="1" si="226"/>
        <v>49.953521671781381</v>
      </c>
      <c r="Q479" s="6">
        <f t="shared" ca="1" si="226"/>
        <v>49.730780612089006</v>
      </c>
      <c r="R479" s="6">
        <f t="shared" ca="1" si="226"/>
        <v>49.499933609305998</v>
      </c>
      <c r="S479" s="6">
        <f t="shared" ca="1" si="226"/>
        <v>49.255612268339704</v>
      </c>
      <c r="T479" s="6">
        <f t="shared" ca="1" si="226"/>
        <v>48.998453676609188</v>
      </c>
      <c r="U479" s="6">
        <f t="shared" ca="1" si="226"/>
        <v>48.725420809359107</v>
      </c>
    </row>
    <row r="480" spans="1:21" x14ac:dyDescent="0.2">
      <c r="A480" s="1" t="s">
        <v>568</v>
      </c>
      <c r="B480" s="4"/>
      <c r="D480" s="14">
        <f>D$526</f>
        <v>3.9220000000000002</v>
      </c>
      <c r="E480" s="14">
        <f t="shared" ref="E480:U480" si="227">E$526</f>
        <v>3.6040000000000001</v>
      </c>
      <c r="F480" s="14">
        <f t="shared" si="227"/>
        <v>3.53</v>
      </c>
      <c r="G480" s="15">
        <f t="shared" si="227"/>
        <v>3.488</v>
      </c>
      <c r="H480" s="15">
        <f t="shared" si="227"/>
        <v>3.4420000000000002</v>
      </c>
      <c r="I480" s="15">
        <f t="shared" si="227"/>
        <v>3.1989999999999998</v>
      </c>
      <c r="J480" s="15">
        <f t="shared" si="227"/>
        <v>3.4340000000000002</v>
      </c>
      <c r="K480" s="15">
        <f t="shared" si="227"/>
        <v>3.0129999999999999</v>
      </c>
      <c r="L480" s="6">
        <f t="shared" ca="1" si="227"/>
        <v>3.6478404652948835</v>
      </c>
      <c r="M480" s="6">
        <f t="shared" ca="1" si="227"/>
        <v>3.9550450495675262</v>
      </c>
      <c r="N480" s="6">
        <f t="shared" ca="1" si="227"/>
        <v>4.3222278329070107</v>
      </c>
      <c r="O480" s="6">
        <f t="shared" ca="1" si="227"/>
        <v>4.755927187713004</v>
      </c>
      <c r="P480" s="6">
        <f t="shared" ca="1" si="227"/>
        <v>5.2701997906890403</v>
      </c>
      <c r="Q480" s="6">
        <f t="shared" ca="1" si="227"/>
        <v>5.8537020388762802</v>
      </c>
      <c r="R480" s="6">
        <f t="shared" ca="1" si="227"/>
        <v>6.4857836999027878</v>
      </c>
      <c r="S480" s="6">
        <f t="shared" ca="1" si="227"/>
        <v>6.8228076350860238</v>
      </c>
      <c r="T480" s="6">
        <f t="shared" ca="1" si="227"/>
        <v>7.1677055322716026</v>
      </c>
      <c r="U480" s="6">
        <f t="shared" ca="1" si="227"/>
        <v>7.5226471993731199</v>
      </c>
    </row>
    <row r="481" spans="1:21" x14ac:dyDescent="0.2">
      <c r="A481" s="1" t="s">
        <v>673</v>
      </c>
      <c r="D481" s="14">
        <f t="shared" ref="D481:U481" si="228">SUM(D$236,D$239)</f>
        <v>0</v>
      </c>
      <c r="E481" s="14">
        <f t="shared" si="228"/>
        <v>0</v>
      </c>
      <c r="F481" s="14">
        <f t="shared" si="228"/>
        <v>0</v>
      </c>
      <c r="G481" s="15">
        <f t="shared" si="228"/>
        <v>-0.11399999999999999</v>
      </c>
      <c r="H481" s="15">
        <f t="shared" si="228"/>
        <v>-0.38500000000000001</v>
      </c>
      <c r="I481" s="15">
        <f t="shared" si="228"/>
        <v>2.7449999999999992</v>
      </c>
      <c r="J481" s="15">
        <f t="shared" si="228"/>
        <v>5.3609999999999998</v>
      </c>
      <c r="K481" s="15">
        <f t="shared" si="228"/>
        <v>7.8539999999999992</v>
      </c>
      <c r="L481" s="6">
        <f t="shared" ca="1" si="228"/>
        <v>10.041625</v>
      </c>
      <c r="M481" s="6">
        <f t="shared" ca="1" si="228"/>
        <v>12.327693125</v>
      </c>
      <c r="N481" s="6">
        <f t="shared" ca="1" si="228"/>
        <v>14.716634315625001</v>
      </c>
      <c r="O481" s="6">
        <f t="shared" ca="1" si="228"/>
        <v>17.213077859828125</v>
      </c>
      <c r="P481" s="6">
        <f t="shared" ca="1" si="228"/>
        <v>19.821861363520391</v>
      </c>
      <c r="Q481" s="6">
        <f t="shared" ca="1" si="228"/>
        <v>22.54804012487881</v>
      </c>
      <c r="R481" s="6">
        <f t="shared" ca="1" si="228"/>
        <v>25.396896930498354</v>
      </c>
      <c r="S481" s="6">
        <f t="shared" ca="1" si="228"/>
        <v>28.373952292370781</v>
      </c>
      <c r="T481" s="6">
        <f t="shared" ca="1" si="228"/>
        <v>31.484975145527464</v>
      </c>
      <c r="U481" s="6">
        <f t="shared" ca="1" si="228"/>
        <v>34.735994027076195</v>
      </c>
    </row>
    <row r="482" spans="1:21" ht="15" x14ac:dyDescent="0.25">
      <c r="A482" s="2" t="s">
        <v>562</v>
      </c>
      <c r="D482" s="34">
        <f t="shared" ref="D482:U482" si="229">SUM(D$474:D$477)-SUM(D$478:D$481)</f>
        <v>1.5949999999999989</v>
      </c>
      <c r="E482" s="34">
        <f t="shared" si="229"/>
        <v>3.2649999999999864</v>
      </c>
      <c r="F482" s="34">
        <f t="shared" si="229"/>
        <v>6.3080000000000069</v>
      </c>
      <c r="G482" s="33">
        <f t="shared" si="229"/>
        <v>5.4900000000000091</v>
      </c>
      <c r="H482" s="33">
        <f t="shared" si="229"/>
        <v>4.9570000000000078</v>
      </c>
      <c r="I482" s="33">
        <f t="shared" si="229"/>
        <v>6.722999999999999</v>
      </c>
      <c r="J482" s="33">
        <f t="shared" si="229"/>
        <v>7.3589999999999947</v>
      </c>
      <c r="K482" s="33">
        <f t="shared" si="229"/>
        <v>9.1929999999999836</v>
      </c>
      <c r="L482" s="37">
        <f t="shared" ca="1" si="229"/>
        <v>10.052004169739689</v>
      </c>
      <c r="M482" s="37">
        <f t="shared" ca="1" si="229"/>
        <v>10.872620613578064</v>
      </c>
      <c r="N482" s="37">
        <f t="shared" ca="1" si="229"/>
        <v>11.582937557229869</v>
      </c>
      <c r="O482" s="37">
        <f t="shared" ca="1" si="229"/>
        <v>12.173156379400453</v>
      </c>
      <c r="P482" s="37">
        <f t="shared" ca="1" si="229"/>
        <v>12.715908181101838</v>
      </c>
      <c r="Q482" s="37">
        <f t="shared" ca="1" si="229"/>
        <v>13.207154162621848</v>
      </c>
      <c r="R482" s="37">
        <f t="shared" ca="1" si="229"/>
        <v>13.672960564841148</v>
      </c>
      <c r="S482" s="37">
        <f t="shared" ca="1" si="229"/>
        <v>14.391264082544069</v>
      </c>
      <c r="T482" s="37">
        <f t="shared" ca="1" si="229"/>
        <v>15.116467258663164</v>
      </c>
      <c r="U482" s="37">
        <f t="shared" ca="1" si="229"/>
        <v>15.842780236396777</v>
      </c>
    </row>
    <row r="483" spans="1:21" x14ac:dyDescent="0.2">
      <c r="A483" s="1" t="s">
        <v>683</v>
      </c>
      <c r="B483" s="4" t="str">
        <f>$B$37</f>
        <v>From Fiscal</v>
      </c>
      <c r="D483" s="14">
        <f>-'Fiscal Forecasts'!D$374</f>
        <v>1.9550000000000001</v>
      </c>
      <c r="E483" s="14">
        <f>-'Fiscal Forecasts'!E$374</f>
        <v>1.9710000000000001</v>
      </c>
      <c r="F483" s="14">
        <f>-'Fiscal Forecasts'!F$374</f>
        <v>2.153</v>
      </c>
      <c r="G483" s="15">
        <f>-'Fiscal Forecasts'!G$374</f>
        <v>3.2170000000000001</v>
      </c>
      <c r="H483" s="15">
        <f>-'Fiscal Forecasts'!H$374</f>
        <v>3.2290000000000001</v>
      </c>
      <c r="I483" s="15">
        <f>-'Fiscal Forecasts'!I$374</f>
        <v>3.048</v>
      </c>
      <c r="J483" s="15">
        <f>-'Fiscal Forecasts'!J$374</f>
        <v>2.9820000000000002</v>
      </c>
      <c r="K483" s="15">
        <f>-'Fiscal Forecasts'!K$374</f>
        <v>1.8140000000000001</v>
      </c>
      <c r="L483" s="6">
        <f ca="1">SUM(L$407-K$407,L$203,L$426-K$426,L$209)</f>
        <v>2.261253552798705</v>
      </c>
      <c r="M483" s="6">
        <f t="shared" ref="M483:U483" ca="1" si="230">SUM(M$407-L$407,M$203,M$426-L$426,M$209)</f>
        <v>2.4198642585935564</v>
      </c>
      <c r="N483" s="6">
        <f t="shared" ca="1" si="230"/>
        <v>2.637605957599205</v>
      </c>
      <c r="O483" s="6">
        <f t="shared" ca="1" si="230"/>
        <v>2.9122034673356199</v>
      </c>
      <c r="P483" s="6">
        <f t="shared" ca="1" si="230"/>
        <v>3.2408002567625545</v>
      </c>
      <c r="Q483" s="6">
        <f t="shared" ca="1" si="230"/>
        <v>3.6226174877233399</v>
      </c>
      <c r="R483" s="6">
        <f t="shared" ca="1" si="230"/>
        <v>4.0309588726412935</v>
      </c>
      <c r="S483" s="6">
        <f t="shared" ca="1" si="230"/>
        <v>4.4576423761398178</v>
      </c>
      <c r="T483" s="6">
        <f t="shared" ca="1" si="230"/>
        <v>4.9032437437320082</v>
      </c>
      <c r="U483" s="6">
        <f t="shared" ca="1" si="230"/>
        <v>5.3688923744568839</v>
      </c>
    </row>
    <row r="484" spans="1:21" x14ac:dyDescent="0.2">
      <c r="A484" s="1" t="s">
        <v>695</v>
      </c>
      <c r="B484" s="4" t="str">
        <f>$B$37</f>
        <v>From Fiscal</v>
      </c>
      <c r="D484" s="14">
        <f>-'Fiscal Forecasts'!D$375</f>
        <v>0.56999999999999995</v>
      </c>
      <c r="E484" s="14">
        <f>-'Fiscal Forecasts'!E$375</f>
        <v>0.46800000000000003</v>
      </c>
      <c r="F484" s="14">
        <f>-'Fiscal Forecasts'!F$375</f>
        <v>-0.111</v>
      </c>
      <c r="G484" s="15">
        <f>-'Fiscal Forecasts'!G$375</f>
        <v>0.127</v>
      </c>
      <c r="H484" s="15">
        <f>-'Fiscal Forecasts'!H$375</f>
        <v>5.3999999999999999E-2</v>
      </c>
      <c r="I484" s="15">
        <f>-'Fiscal Forecasts'!I$375</f>
        <v>1.0999999999999999E-2</v>
      </c>
      <c r="J484" s="15">
        <f>-'Fiscal Forecasts'!J$375</f>
        <v>-4.7E-2</v>
      </c>
      <c r="K484" s="15">
        <f>-'Fiscal Forecasts'!K$375</f>
        <v>-0.109</v>
      </c>
      <c r="L484" s="6">
        <f t="shared" ref="L484:U484" ca="1" si="231">SUM(L$381-K$381,-(L$147-L$254),L$382-K$382)</f>
        <v>8.6679291603185882E-2</v>
      </c>
      <c r="M484" s="6">
        <f t="shared" ca="1" si="231"/>
        <v>0.12181386186819043</v>
      </c>
      <c r="N484" s="6">
        <f t="shared" ca="1" si="231"/>
        <v>0.15727135462382125</v>
      </c>
      <c r="O484" s="6">
        <f t="shared" ca="1" si="231"/>
        <v>0.19005787617577818</v>
      </c>
      <c r="P484" s="6">
        <f t="shared" ca="1" si="231"/>
        <v>0.22992199888914489</v>
      </c>
      <c r="Q484" s="6">
        <f t="shared" ca="1" si="231"/>
        <v>0.26968751960803405</v>
      </c>
      <c r="R484" s="6">
        <f t="shared" ca="1" si="231"/>
        <v>0.30501277484582967</v>
      </c>
      <c r="S484" s="6">
        <f t="shared" ca="1" si="231"/>
        <v>0.33585628953619706</v>
      </c>
      <c r="T484" s="6">
        <f t="shared" ca="1" si="231"/>
        <v>0.36486346968576389</v>
      </c>
      <c r="U484" s="6">
        <f t="shared" ca="1" si="231"/>
        <v>0.38843250420088593</v>
      </c>
    </row>
    <row r="485" spans="1:21" x14ac:dyDescent="0.2">
      <c r="A485" s="1" t="s">
        <v>696</v>
      </c>
      <c r="B485" s="4" t="str">
        <f>$B$37</f>
        <v>From Fiscal</v>
      </c>
      <c r="D485" s="14">
        <f>-'Fiscal Forecasts'!D$376</f>
        <v>0.89699999999999991</v>
      </c>
      <c r="E485" s="14">
        <f>-'Fiscal Forecasts'!E$376</f>
        <v>2.1480000000000001</v>
      </c>
      <c r="F485" s="14">
        <f>-'Fiscal Forecasts'!F$376</f>
        <v>1.6919999999999999</v>
      </c>
      <c r="G485" s="15">
        <f>-'Fiscal Forecasts'!G$376</f>
        <v>3.2010000000000001</v>
      </c>
      <c r="H485" s="15">
        <f>-'Fiscal Forecasts'!H$376</f>
        <v>3.8820000000000001</v>
      </c>
      <c r="I485" s="15">
        <f>-'Fiscal Forecasts'!I$376</f>
        <v>2.4990000000000001</v>
      </c>
      <c r="J485" s="15">
        <f>-'Fiscal Forecasts'!J$376</f>
        <v>2.0099999999999998</v>
      </c>
      <c r="K485" s="15">
        <f>-'Fiscal Forecasts'!K$376</f>
        <v>1.627</v>
      </c>
      <c r="L485" s="6">
        <f t="shared" ref="L485:U485" ca="1" si="232">SUM(L$421-K$421,-L$331)</f>
        <v>1.1887107370395604</v>
      </c>
      <c r="M485" s="6">
        <f t="shared" ca="1" si="232"/>
        <v>1.3512800158888552</v>
      </c>
      <c r="N485" s="6">
        <f t="shared" ca="1" si="232"/>
        <v>1.4114907688305616</v>
      </c>
      <c r="O485" s="6">
        <f t="shared" ca="1" si="232"/>
        <v>1.473243274053692</v>
      </c>
      <c r="P485" s="6">
        <f t="shared" ca="1" si="232"/>
        <v>1.5370927717107932</v>
      </c>
      <c r="Q485" s="6">
        <f t="shared" ca="1" si="232"/>
        <v>1.6031409760155755</v>
      </c>
      <c r="R485" s="6">
        <f t="shared" ca="1" si="232"/>
        <v>1.6712742400019489</v>
      </c>
      <c r="S485" s="6">
        <f t="shared" ca="1" si="232"/>
        <v>1.7416954838757743</v>
      </c>
      <c r="T485" s="6">
        <f t="shared" ca="1" si="232"/>
        <v>1.8144687894951026</v>
      </c>
      <c r="U485" s="6">
        <f t="shared" ca="1" si="232"/>
        <v>1.8898141462937239</v>
      </c>
    </row>
    <row r="486" spans="1:21" x14ac:dyDescent="0.2">
      <c r="A486" s="1" t="s">
        <v>569</v>
      </c>
      <c r="D486" s="14">
        <f t="shared" ref="D486:U486" si="233">D$371</f>
        <v>0</v>
      </c>
      <c r="E486" s="14">
        <f t="shared" si="233"/>
        <v>0</v>
      </c>
      <c r="F486" s="14">
        <f t="shared" si="233"/>
        <v>0</v>
      </c>
      <c r="G486" s="15">
        <f t="shared" si="233"/>
        <v>0.5</v>
      </c>
      <c r="H486" s="15">
        <f t="shared" si="233"/>
        <v>1</v>
      </c>
      <c r="I486" s="15">
        <f t="shared" si="233"/>
        <v>1.5</v>
      </c>
      <c r="J486" s="15">
        <f t="shared" si="233"/>
        <v>2.2000000000000002</v>
      </c>
      <c r="K486" s="15">
        <f t="shared" si="233"/>
        <v>2.5</v>
      </c>
      <c r="L486" s="6">
        <f t="shared" si="233"/>
        <v>2.6509999999999998</v>
      </c>
      <c r="M486" s="6">
        <f t="shared" si="233"/>
        <v>2.54</v>
      </c>
      <c r="N486" s="6">
        <f t="shared" si="233"/>
        <v>2.3679999999999999</v>
      </c>
      <c r="O486" s="6">
        <f t="shared" si="233"/>
        <v>2.137</v>
      </c>
      <c r="P486" s="6">
        <f t="shared" si="233"/>
        <v>1.8720000000000001</v>
      </c>
      <c r="Q486" s="6">
        <f t="shared" si="233"/>
        <v>1.595</v>
      </c>
      <c r="R486" s="6">
        <f t="shared" si="233"/>
        <v>1.323</v>
      </c>
      <c r="S486" s="6">
        <f t="shared" si="233"/>
        <v>1.0920000000000001</v>
      </c>
      <c r="T486" s="6">
        <f t="shared" si="233"/>
        <v>0.86699999999999999</v>
      </c>
      <c r="U486" s="6">
        <f t="shared" si="233"/>
        <v>0.63400000000000001</v>
      </c>
    </row>
    <row r="487" spans="1:21" x14ac:dyDescent="0.2">
      <c r="A487" s="1" t="s">
        <v>672</v>
      </c>
      <c r="D487" s="14">
        <f>SUM(D$441-C$441,D$442-C$442)</f>
        <v>0</v>
      </c>
      <c r="E487" s="14">
        <f>SUM(E$441-D$441,E$442-D$442)</f>
        <v>0</v>
      </c>
      <c r="F487" s="14">
        <f>SUM(F$441-E$441,F$442-E$442)</f>
        <v>0</v>
      </c>
      <c r="G487" s="15">
        <f>SUM(G$441-F$441,G$442-F$442)</f>
        <v>-0.3</v>
      </c>
      <c r="H487" s="15">
        <f t="shared" ref="H487:U487" si="234">SUM(H$441-G$441,H$442-G$442)</f>
        <v>0.66699999999999993</v>
      </c>
      <c r="I487" s="15">
        <f t="shared" si="234"/>
        <v>1.3920000000000001</v>
      </c>
      <c r="J487" s="15">
        <f t="shared" si="234"/>
        <v>2.1069999999999998</v>
      </c>
      <c r="K487" s="15">
        <f t="shared" si="234"/>
        <v>2.7090000000000005</v>
      </c>
      <c r="L487" s="6">
        <f t="shared" ca="1" si="234"/>
        <v>3.9284250000000007</v>
      </c>
      <c r="M487" s="6">
        <f t="shared" ca="1" si="234"/>
        <v>5.6139178750000003</v>
      </c>
      <c r="N487" s="6">
        <f t="shared" ca="1" si="234"/>
        <v>7.239622929374999</v>
      </c>
      <c r="O487" s="6">
        <f t="shared" ca="1" si="234"/>
        <v>8.7745547111968722</v>
      </c>
      <c r="P487" s="6">
        <f t="shared" ca="1" si="234"/>
        <v>10.314658423200733</v>
      </c>
      <c r="Q487" s="6">
        <f t="shared" ca="1" si="234"/>
        <v>10.778818052244761</v>
      </c>
      <c r="R487" s="6">
        <f t="shared" ca="1" si="234"/>
        <v>11.263864864595774</v>
      </c>
      <c r="S487" s="6">
        <f t="shared" ca="1" si="234"/>
        <v>11.770738783502583</v>
      </c>
      <c r="T487" s="6">
        <f t="shared" ca="1" si="234"/>
        <v>12.300422028760201</v>
      </c>
      <c r="U487" s="6">
        <f t="shared" ca="1" si="234"/>
        <v>12.853941020054418</v>
      </c>
    </row>
    <row r="488" spans="1:21" ht="15" x14ac:dyDescent="0.25">
      <c r="A488" s="2" t="s">
        <v>563</v>
      </c>
      <c r="D488" s="34">
        <f t="shared" ref="D488:U488" si="235">-SUM(D$483:D$487)</f>
        <v>-3.4219999999999997</v>
      </c>
      <c r="E488" s="34">
        <f t="shared" si="235"/>
        <v>-4.5869999999999997</v>
      </c>
      <c r="F488" s="34">
        <f t="shared" si="235"/>
        <v>-3.734</v>
      </c>
      <c r="G488" s="33">
        <f t="shared" si="235"/>
        <v>-6.7450000000000001</v>
      </c>
      <c r="H488" s="33">
        <f t="shared" si="235"/>
        <v>-8.831999999999999</v>
      </c>
      <c r="I488" s="33">
        <f t="shared" si="235"/>
        <v>-8.4499999999999993</v>
      </c>
      <c r="J488" s="33">
        <f t="shared" si="235"/>
        <v>-9.2520000000000007</v>
      </c>
      <c r="K488" s="33">
        <f t="shared" si="235"/>
        <v>-8.5410000000000004</v>
      </c>
      <c r="L488" s="37">
        <f t="shared" ca="1" si="235"/>
        <v>-10.116068581441452</v>
      </c>
      <c r="M488" s="37">
        <f t="shared" ca="1" si="235"/>
        <v>-12.046876011350601</v>
      </c>
      <c r="N488" s="37">
        <f t="shared" ca="1" si="235"/>
        <v>-13.813991010428587</v>
      </c>
      <c r="O488" s="37">
        <f t="shared" ca="1" si="235"/>
        <v>-15.487059328761962</v>
      </c>
      <c r="P488" s="37">
        <f t="shared" ca="1" si="235"/>
        <v>-17.194473450563226</v>
      </c>
      <c r="Q488" s="37">
        <f t="shared" ca="1" si="235"/>
        <v>-17.869264035591712</v>
      </c>
      <c r="R488" s="37">
        <f t="shared" ca="1" si="235"/>
        <v>-18.594110752084845</v>
      </c>
      <c r="S488" s="37">
        <f t="shared" ca="1" si="235"/>
        <v>-19.397932933054371</v>
      </c>
      <c r="T488" s="37">
        <f t="shared" ca="1" si="235"/>
        <v>-20.249998031673076</v>
      </c>
      <c r="U488" s="37">
        <f t="shared" ca="1" si="235"/>
        <v>-21.135080045005914</v>
      </c>
    </row>
    <row r="489" spans="1:21" ht="15" x14ac:dyDescent="0.25">
      <c r="A489" s="2" t="s">
        <v>564</v>
      </c>
      <c r="D489" s="35">
        <f t="shared" ref="D489:U489" si="236">SUM(D$482,D$488)</f>
        <v>-1.8270000000000008</v>
      </c>
      <c r="E489" s="35">
        <f t="shared" si="236"/>
        <v>-1.3220000000000134</v>
      </c>
      <c r="F489" s="35">
        <f t="shared" si="236"/>
        <v>2.5740000000000069</v>
      </c>
      <c r="G489" s="36">
        <f t="shared" si="236"/>
        <v>-1.254999999999991</v>
      </c>
      <c r="H489" s="36">
        <f t="shared" si="236"/>
        <v>-3.8749999999999911</v>
      </c>
      <c r="I489" s="36">
        <f t="shared" si="236"/>
        <v>-1.7270000000000003</v>
      </c>
      <c r="J489" s="36">
        <f t="shared" si="236"/>
        <v>-1.893000000000006</v>
      </c>
      <c r="K489" s="36">
        <f t="shared" si="236"/>
        <v>0.65199999999998326</v>
      </c>
      <c r="L489" s="27">
        <f t="shared" ca="1" si="236"/>
        <v>-6.406441170176258E-2</v>
      </c>
      <c r="M489" s="27">
        <f t="shared" ca="1" si="236"/>
        <v>-1.1742553977725372</v>
      </c>
      <c r="N489" s="27">
        <f t="shared" ca="1" si="236"/>
        <v>-2.2310534531987187</v>
      </c>
      <c r="O489" s="27">
        <f t="shared" ca="1" si="236"/>
        <v>-3.3139029493615091</v>
      </c>
      <c r="P489" s="27">
        <f t="shared" ca="1" si="236"/>
        <v>-4.478565269461388</v>
      </c>
      <c r="Q489" s="27">
        <f t="shared" ca="1" si="236"/>
        <v>-4.6621098729698645</v>
      </c>
      <c r="R489" s="27">
        <f t="shared" ca="1" si="236"/>
        <v>-4.9211501872436969</v>
      </c>
      <c r="S489" s="27">
        <f t="shared" ca="1" si="236"/>
        <v>-5.0066688505103016</v>
      </c>
      <c r="T489" s="27">
        <f t="shared" ca="1" si="236"/>
        <v>-5.1335307730099125</v>
      </c>
      <c r="U489" s="27">
        <f t="shared" ca="1" si="236"/>
        <v>-5.2922998086091368</v>
      </c>
    </row>
    <row r="490" spans="1:21" ht="15" x14ac:dyDescent="0.25">
      <c r="A490" s="2" t="s">
        <v>1287</v>
      </c>
      <c r="B490" s="4" t="str">
        <f>$B$58</f>
        <v>Projected Years only</v>
      </c>
      <c r="L490" s="5" t="str">
        <f ca="1">IF(ROUND(SUM(L$489,L$75-K$75,L$494),3)=0,"OK","ERROR")</f>
        <v>OK</v>
      </c>
      <c r="M490" s="5" t="str">
        <f t="shared" ref="M490:U490" ca="1" si="237">IF(ROUND(SUM(M$489,M$75-L$75,M$494),3)=0,"OK","ERROR")</f>
        <v>OK</v>
      </c>
      <c r="N490" s="5" t="str">
        <f t="shared" ca="1" si="237"/>
        <v>OK</v>
      </c>
      <c r="O490" s="5" t="str">
        <f t="shared" ca="1" si="237"/>
        <v>OK</v>
      </c>
      <c r="P490" s="5" t="str">
        <f t="shared" ca="1" si="237"/>
        <v>OK</v>
      </c>
      <c r="Q490" s="5" t="str">
        <f t="shared" ca="1" si="237"/>
        <v>OK</v>
      </c>
      <c r="R490" s="5" t="str">
        <f t="shared" ca="1" si="237"/>
        <v>OK</v>
      </c>
      <c r="S490" s="5" t="str">
        <f t="shared" ca="1" si="237"/>
        <v>OK</v>
      </c>
      <c r="T490" s="5" t="str">
        <f t="shared" ca="1" si="237"/>
        <v>OK</v>
      </c>
      <c r="U490" s="5" t="str">
        <f t="shared" ca="1" si="237"/>
        <v>OK</v>
      </c>
    </row>
    <row r="491" spans="1:21" ht="15" x14ac:dyDescent="0.25">
      <c r="A491" s="2"/>
      <c r="B491" s="4"/>
    </row>
    <row r="492" spans="1:21" ht="15" x14ac:dyDescent="0.25">
      <c r="A492" s="2" t="s">
        <v>383</v>
      </c>
      <c r="B492" s="4" t="str">
        <f>$B$37</f>
        <v>From Fiscal</v>
      </c>
      <c r="D492" s="39">
        <f>'Fiscal Forecasts'!D$380</f>
        <v>3.0409999999999999</v>
      </c>
      <c r="E492" s="39">
        <f>'Fiscal Forecasts'!E$380</f>
        <v>2.1779999999999999</v>
      </c>
      <c r="F492" s="39">
        <f>'Fiscal Forecasts'!F$380</f>
        <v>1.17</v>
      </c>
      <c r="G492" s="38">
        <f>'Fiscal Forecasts'!G$380</f>
        <v>2.3119999999999998</v>
      </c>
      <c r="H492" s="38">
        <f>'Fiscal Forecasts'!H$380</f>
        <v>-5.4039999999999999</v>
      </c>
      <c r="I492" s="38">
        <f>'Fiscal Forecasts'!I$380</f>
        <v>2.1619999999999999</v>
      </c>
      <c r="J492" s="38">
        <f>'Fiscal Forecasts'!J$380</f>
        <v>-1.0589999999999999</v>
      </c>
      <c r="K492" s="38">
        <f>'Fiscal Forecasts'!K$380</f>
        <v>4.8940000000000001</v>
      </c>
      <c r="L492" s="7">
        <f t="shared" ref="L492:U492" ca="1" si="238">-SUM(L$482,L$488,L$496)</f>
        <v>0.41992080856239866</v>
      </c>
      <c r="M492" s="7">
        <f t="shared" ca="1" si="238"/>
        <v>1.6241988941844205</v>
      </c>
      <c r="N492" s="7">
        <f t="shared" ca="1" si="238"/>
        <v>2.7955742724057275</v>
      </c>
      <c r="O492" s="7">
        <f t="shared" ca="1" si="238"/>
        <v>4.0139985591702203</v>
      </c>
      <c r="P492" s="7">
        <f t="shared" ca="1" si="238"/>
        <v>5.3406146045222496</v>
      </c>
      <c r="Q492" s="7">
        <f t="shared" ca="1" si="238"/>
        <v>5.7062472872961729</v>
      </c>
      <c r="R492" s="7">
        <f t="shared" ca="1" si="238"/>
        <v>5.9982497213968742</v>
      </c>
      <c r="S492" s="7">
        <f t="shared" ca="1" si="238"/>
        <v>6.1199384127340739</v>
      </c>
      <c r="T492" s="7">
        <f t="shared" ca="1" si="238"/>
        <v>6.2839834153058476</v>
      </c>
      <c r="U492" s="7">
        <f t="shared" ca="1" si="238"/>
        <v>6.4834132818259089</v>
      </c>
    </row>
    <row r="493" spans="1:21" x14ac:dyDescent="0.2">
      <c r="A493" s="1" t="s">
        <v>709</v>
      </c>
      <c r="B493" s="4" t="str">
        <f>$B$37</f>
        <v>From Fiscal</v>
      </c>
      <c r="D493" s="14">
        <f>-'Fiscal Forecasts'!D$381</f>
        <v>-0.79500000000000004</v>
      </c>
      <c r="E493" s="14">
        <f>-'Fiscal Forecasts'!E$381</f>
        <v>-0.68500000000000005</v>
      </c>
      <c r="F493" s="14">
        <f>-'Fiscal Forecasts'!F$381</f>
        <v>0.19500000000000001</v>
      </c>
      <c r="G493" s="15">
        <f>-'Fiscal Forecasts'!G$381</f>
        <v>1.37</v>
      </c>
      <c r="H493" s="15">
        <f>-'Fiscal Forecasts'!H$381</f>
        <v>-9.0820000000000007</v>
      </c>
      <c r="I493" s="15">
        <f>-'Fiscal Forecasts'!I$381</f>
        <v>0.63800000000000001</v>
      </c>
      <c r="J493" s="15">
        <f>-'Fiscal Forecasts'!J$381</f>
        <v>-2.7429999999999999</v>
      </c>
      <c r="K493" s="15">
        <f>-'Fiscal Forecasts'!K$381</f>
        <v>5.76</v>
      </c>
      <c r="L493" s="6">
        <f ca="1">SUM(L$349-K$349,L$358-K$358)</f>
        <v>-0.21016780245824407</v>
      </c>
      <c r="M493" s="6">
        <f t="shared" ref="M493:U493" ca="1" si="239">SUM(M$349-L$349,M$358-L$358)</f>
        <v>-4.9056933279485904E-2</v>
      </c>
      <c r="N493" s="6">
        <f t="shared" ca="1" si="239"/>
        <v>0.14673799420108669</v>
      </c>
      <c r="O493" s="6">
        <f t="shared" ca="1" si="239"/>
        <v>0.37808561994397927</v>
      </c>
      <c r="P493" s="6">
        <f t="shared" ca="1" si="239"/>
        <v>0.65057184845631966</v>
      </c>
      <c r="Q493" s="6">
        <f t="shared" ca="1" si="239"/>
        <v>0.95934751277139174</v>
      </c>
      <c r="R493" s="6">
        <f t="shared" ca="1" si="239"/>
        <v>0.98963292083904797</v>
      </c>
      <c r="S493" s="6">
        <f t="shared" ca="1" si="239"/>
        <v>1.0228657367407585</v>
      </c>
      <c r="T493" s="6">
        <f t="shared" ca="1" si="239"/>
        <v>1.0570293390549494</v>
      </c>
      <c r="U493" s="6">
        <f t="shared" ca="1" si="239"/>
        <v>1.0943882790526036</v>
      </c>
    </row>
    <row r="494" spans="1:21" x14ac:dyDescent="0.2">
      <c r="A494" s="1" t="s">
        <v>188</v>
      </c>
      <c r="B494" s="4"/>
      <c r="D494" s="14">
        <f t="shared" ref="D494:K494" si="240">D$98</f>
        <v>0.372</v>
      </c>
      <c r="E494" s="14">
        <f t="shared" si="240"/>
        <v>0.378</v>
      </c>
      <c r="F494" s="14">
        <f t="shared" si="240"/>
        <v>0.26500000000000001</v>
      </c>
      <c r="G494" s="15">
        <f t="shared" si="240"/>
        <v>0.46</v>
      </c>
      <c r="H494" s="15">
        <f t="shared" si="240"/>
        <v>0.19600000000000001</v>
      </c>
      <c r="I494" s="15">
        <f t="shared" si="240"/>
        <v>0.20200000000000001</v>
      </c>
      <c r="J494" s="15">
        <f t="shared" si="240"/>
        <v>0.20799999999999999</v>
      </c>
      <c r="K494" s="15">
        <f t="shared" si="240"/>
        <v>0.214</v>
      </c>
      <c r="L494" s="6">
        <f t="shared" ref="L494:U494" ca="1" si="241">L$445-K$445</f>
        <v>0.37752846600355738</v>
      </c>
      <c r="M494" s="6">
        <f t="shared" ca="1" si="241"/>
        <v>0.37923488856834986</v>
      </c>
      <c r="N494" s="6">
        <f t="shared" ca="1" si="241"/>
        <v>0.3814952091130035</v>
      </c>
      <c r="O494" s="6">
        <f t="shared" ca="1" si="241"/>
        <v>0.38431860230770454</v>
      </c>
      <c r="P494" s="6">
        <f t="shared" ca="1" si="241"/>
        <v>0.38944590314491734</v>
      </c>
      <c r="Q494" s="6">
        <f t="shared" ca="1" si="241"/>
        <v>0.39411782080294699</v>
      </c>
      <c r="R494" s="6">
        <f t="shared" ca="1" si="241"/>
        <v>0.40655963033584008</v>
      </c>
      <c r="S494" s="6">
        <f t="shared" ca="1" si="241"/>
        <v>0.42021228988617132</v>
      </c>
      <c r="T494" s="6">
        <f t="shared" ca="1" si="241"/>
        <v>0.4342473338255175</v>
      </c>
      <c r="U494" s="6">
        <f t="shared" ca="1" si="241"/>
        <v>0.44959508198076925</v>
      </c>
    </row>
    <row r="495" spans="1:21" x14ac:dyDescent="0.2">
      <c r="A495" s="1" t="s">
        <v>1306</v>
      </c>
      <c r="B495" s="4" t="str">
        <f>$B$37</f>
        <v>From Fiscal</v>
      </c>
      <c r="D495" s="14">
        <f>-'Fiscal Forecasts'!D$382</f>
        <v>2.3809999999999998</v>
      </c>
      <c r="E495" s="14">
        <f>-'Fiscal Forecasts'!E$382</f>
        <v>1.919</v>
      </c>
      <c r="F495" s="14">
        <f>-'Fiscal Forecasts'!F$382</f>
        <v>3.8140000000000001</v>
      </c>
      <c r="G495" s="15">
        <f>-'Fiscal Forecasts'!G$382</f>
        <v>0.14699999999999999</v>
      </c>
      <c r="H495" s="15">
        <f>-'Fiscal Forecasts'!H$382</f>
        <v>-1E-3</v>
      </c>
      <c r="I495" s="15">
        <f>-'Fiscal Forecasts'!I$382</f>
        <v>-1E-3</v>
      </c>
      <c r="J495" s="15">
        <f>-'Fiscal Forecasts'!J$382</f>
        <v>-1E-3</v>
      </c>
      <c r="K495" s="15">
        <f>-'Fiscal Forecasts'!K$382</f>
        <v>0</v>
      </c>
      <c r="L495" s="6">
        <f t="shared" ref="L495:U495" ca="1" si="242">L$336-K$336</f>
        <v>0.94355266532243753</v>
      </c>
      <c r="M495" s="6">
        <f t="shared" ca="1" si="242"/>
        <v>0.87823531825971912</v>
      </c>
      <c r="N495" s="6">
        <f t="shared" ca="1" si="242"/>
        <v>0.79927803411892562</v>
      </c>
      <c r="O495" s="6">
        <f t="shared" ca="1" si="242"/>
        <v>0.70632859217243649</v>
      </c>
      <c r="P495" s="6">
        <f t="shared" ca="1" si="242"/>
        <v>0.60092338974945925</v>
      </c>
      <c r="Q495" s="6">
        <f t="shared" ca="1" si="242"/>
        <v>0.47890772235786372</v>
      </c>
      <c r="R495" s="6">
        <f t="shared" ca="1" si="242"/>
        <v>0.49402624364996939</v>
      </c>
      <c r="S495" s="6">
        <f t="shared" ca="1" si="242"/>
        <v>0.51061611536918505</v>
      </c>
      <c r="T495" s="6">
        <f t="shared" ca="1" si="242"/>
        <v>0.52767063706650319</v>
      </c>
      <c r="U495" s="6">
        <f t="shared" ca="1" si="242"/>
        <v>0.54632027614493772</v>
      </c>
    </row>
    <row r="496" spans="1:21" ht="15" x14ac:dyDescent="0.25">
      <c r="A496" s="2" t="s">
        <v>565</v>
      </c>
      <c r="D496" s="34">
        <f t="shared" ref="D496:U496" si="243">SUM(-D$493,D$494,-D$495)</f>
        <v>-1.2139999999999997</v>
      </c>
      <c r="E496" s="34">
        <f t="shared" si="243"/>
        <v>-0.85599999999999987</v>
      </c>
      <c r="F496" s="34">
        <f t="shared" si="243"/>
        <v>-3.7440000000000002</v>
      </c>
      <c r="G496" s="33">
        <f t="shared" si="243"/>
        <v>-1.0570000000000002</v>
      </c>
      <c r="H496" s="33">
        <f t="shared" si="243"/>
        <v>9.2789999999999999</v>
      </c>
      <c r="I496" s="33">
        <f t="shared" si="243"/>
        <v>-0.435</v>
      </c>
      <c r="J496" s="33">
        <f t="shared" si="243"/>
        <v>2.952</v>
      </c>
      <c r="K496" s="33">
        <f t="shared" si="243"/>
        <v>-5.5459999999999994</v>
      </c>
      <c r="L496" s="37">
        <f t="shared" ca="1" si="243"/>
        <v>-0.35585639686063608</v>
      </c>
      <c r="M496" s="37">
        <f t="shared" ca="1" si="243"/>
        <v>-0.44994349641188336</v>
      </c>
      <c r="N496" s="37">
        <f t="shared" ca="1" si="243"/>
        <v>-0.56452081920700881</v>
      </c>
      <c r="O496" s="37">
        <f t="shared" ca="1" si="243"/>
        <v>-0.70009560980871122</v>
      </c>
      <c r="P496" s="37">
        <f t="shared" ca="1" si="243"/>
        <v>-0.86204933506086157</v>
      </c>
      <c r="Q496" s="37">
        <f t="shared" ca="1" si="243"/>
        <v>-1.0441374143263085</v>
      </c>
      <c r="R496" s="37">
        <f t="shared" ca="1" si="243"/>
        <v>-1.0770995341531773</v>
      </c>
      <c r="S496" s="37">
        <f t="shared" ca="1" si="243"/>
        <v>-1.1132695622237723</v>
      </c>
      <c r="T496" s="37">
        <f t="shared" ca="1" si="243"/>
        <v>-1.1504526422959351</v>
      </c>
      <c r="U496" s="37">
        <f t="shared" ca="1" si="243"/>
        <v>-1.1911134732167721</v>
      </c>
    </row>
    <row r="497" spans="1:21" ht="15" x14ac:dyDescent="0.25">
      <c r="A497" s="2" t="s">
        <v>664</v>
      </c>
      <c r="D497" s="5" t="str">
        <f t="shared" ref="D497:U497" si="244">IF(ROUND(SUM(D$489,D$492,D$496),3)=0,"OK","ERROR")</f>
        <v>OK</v>
      </c>
      <c r="E497" s="5" t="str">
        <f t="shared" si="244"/>
        <v>OK</v>
      </c>
      <c r="F497" s="5" t="str">
        <f t="shared" si="244"/>
        <v>OK</v>
      </c>
      <c r="G497" s="5" t="str">
        <f t="shared" si="244"/>
        <v>OK</v>
      </c>
      <c r="H497" s="5" t="str">
        <f t="shared" si="244"/>
        <v>OK</v>
      </c>
      <c r="I497" s="5" t="str">
        <f t="shared" si="244"/>
        <v>OK</v>
      </c>
      <c r="J497" s="5" t="str">
        <f t="shared" si="244"/>
        <v>OK</v>
      </c>
      <c r="K497" s="5" t="str">
        <f t="shared" si="244"/>
        <v>OK</v>
      </c>
      <c r="L497" s="5" t="str">
        <f t="shared" ca="1" si="244"/>
        <v>OK</v>
      </c>
      <c r="M497" s="5" t="str">
        <f t="shared" ca="1" si="244"/>
        <v>OK</v>
      </c>
      <c r="N497" s="5" t="str">
        <f t="shared" ca="1" si="244"/>
        <v>OK</v>
      </c>
      <c r="O497" s="5" t="str">
        <f t="shared" ca="1" si="244"/>
        <v>OK</v>
      </c>
      <c r="P497" s="5" t="str">
        <f t="shared" ca="1" si="244"/>
        <v>OK</v>
      </c>
      <c r="Q497" s="5" t="str">
        <f t="shared" ca="1" si="244"/>
        <v>OK</v>
      </c>
      <c r="R497" s="5" t="str">
        <f t="shared" ca="1" si="244"/>
        <v>OK</v>
      </c>
      <c r="S497" s="5" t="str">
        <f t="shared" ca="1" si="244"/>
        <v>OK</v>
      </c>
      <c r="T497" s="5" t="str">
        <f t="shared" ca="1" si="244"/>
        <v>OK</v>
      </c>
      <c r="U497" s="5" t="str">
        <f t="shared" ca="1" si="244"/>
        <v>OK</v>
      </c>
    </row>
    <row r="498" spans="1:21" ht="15" x14ac:dyDescent="0.25">
      <c r="G498" s="52"/>
      <c r="H498" s="52"/>
      <c r="I498" s="52"/>
      <c r="J498" s="52"/>
      <c r="K498" s="52"/>
      <c r="L498" s="52"/>
      <c r="M498" s="52"/>
      <c r="N498" s="52"/>
      <c r="O498" s="52"/>
      <c r="P498" s="52"/>
      <c r="Q498" s="52"/>
      <c r="R498" s="52"/>
      <c r="S498" s="52"/>
      <c r="T498" s="52"/>
      <c r="U498" s="52"/>
    </row>
    <row r="499" spans="1:21" x14ac:dyDescent="0.2">
      <c r="A499" s="18" t="s">
        <v>665</v>
      </c>
      <c r="B499" s="4" t="str">
        <f>$B$58</f>
        <v>Projected Years only</v>
      </c>
    </row>
    <row r="500" spans="1:21" x14ac:dyDescent="0.2">
      <c r="A500" s="1" t="s">
        <v>666</v>
      </c>
      <c r="L500" s="6">
        <f ca="1">SUM(L$474-L$367,L$475,L$476,L$477+L$366)-SUM(L$478,L$479+L$368,L$480,L$481)</f>
        <v>9.9903204135159456</v>
      </c>
      <c r="M500" s="6">
        <f t="shared" ref="M500:U500" ca="1" si="245">SUM(M$474-M$367,M$475,M$476,M$477+M$366)-SUM(M$478,M$479+M$368,M$480,M$481)</f>
        <v>10.803009808696146</v>
      </c>
      <c r="N500" s="6">
        <f t="shared" ca="1" si="245"/>
        <v>11.504763034896399</v>
      </c>
      <c r="O500" s="6">
        <f t="shared" ca="1" si="245"/>
        <v>12.085788633790713</v>
      </c>
      <c r="P500" s="6">
        <f t="shared" ca="1" si="245"/>
        <v>12.618713611945736</v>
      </c>
      <c r="Q500" s="6">
        <f t="shared" ca="1" si="245"/>
        <v>13.1020616042521</v>
      </c>
      <c r="R500" s="6">
        <f t="shared" ca="1" si="245"/>
        <v>13.559947437707478</v>
      </c>
      <c r="S500" s="6">
        <f t="shared" ca="1" si="245"/>
        <v>14.270154414742223</v>
      </c>
      <c r="T500" s="6">
        <f t="shared" ca="1" si="245"/>
        <v>14.987046430750837</v>
      </c>
      <c r="U500" s="6">
        <f t="shared" ca="1" si="245"/>
        <v>15.704821695938222</v>
      </c>
    </row>
    <row r="501" spans="1:21" x14ac:dyDescent="0.2">
      <c r="A501" s="1" t="s">
        <v>667</v>
      </c>
      <c r="L501" s="6">
        <f t="shared" ref="L501:U501" ca="1" si="246">-SUM(L$483,L$406-K$406,L$484,L$380-K$380,L$485,L$420-K$420,L$487,L$493,L$348-K$348,L$357-K$357,-L$322)</f>
        <v>-11.57767390404895</v>
      </c>
      <c r="M501" s="6">
        <f t="shared" ca="1" si="246"/>
        <v>-11.711818489694354</v>
      </c>
      <c r="N501" s="6">
        <f t="shared" ca="1" si="246"/>
        <v>-13.636477801576907</v>
      </c>
      <c r="O501" s="6">
        <f t="shared" ca="1" si="246"/>
        <v>-15.5231122021162</v>
      </c>
      <c r="P501" s="6">
        <f t="shared" ca="1" si="246"/>
        <v>-17.484486769909527</v>
      </c>
      <c r="Q501" s="6">
        <f t="shared" ca="1" si="246"/>
        <v>-18.459877136654924</v>
      </c>
      <c r="R501" s="6">
        <f t="shared" ca="1" si="246"/>
        <v>-19.202119898416587</v>
      </c>
      <c r="S501" s="6">
        <f t="shared" ca="1" si="246"/>
        <v>-20.022325371333441</v>
      </c>
      <c r="T501" s="6">
        <f t="shared" ca="1" si="246"/>
        <v>-20.892095934733177</v>
      </c>
      <c r="U501" s="6">
        <f t="shared" ca="1" si="246"/>
        <v>-21.79830423029799</v>
      </c>
    </row>
    <row r="502" spans="1:21" x14ac:dyDescent="0.2">
      <c r="A502" s="1" t="s">
        <v>188</v>
      </c>
      <c r="L502" s="6">
        <f t="shared" ref="L502:U502" ca="1" si="247">L$494</f>
        <v>0.37752846600355738</v>
      </c>
      <c r="M502" s="6">
        <f t="shared" ca="1" si="247"/>
        <v>0.37923488856834986</v>
      </c>
      <c r="N502" s="6">
        <f t="shared" ca="1" si="247"/>
        <v>0.3814952091130035</v>
      </c>
      <c r="O502" s="6">
        <f t="shared" ca="1" si="247"/>
        <v>0.38431860230770454</v>
      </c>
      <c r="P502" s="6">
        <f t="shared" ca="1" si="247"/>
        <v>0.38944590314491734</v>
      </c>
      <c r="Q502" s="6">
        <f t="shared" ca="1" si="247"/>
        <v>0.39411782080294699</v>
      </c>
      <c r="R502" s="6">
        <f t="shared" ca="1" si="247"/>
        <v>0.40655963033584008</v>
      </c>
      <c r="S502" s="6">
        <f t="shared" ca="1" si="247"/>
        <v>0.42021228988617132</v>
      </c>
      <c r="T502" s="6">
        <f t="shared" ca="1" si="247"/>
        <v>0.4342473338255175</v>
      </c>
      <c r="U502" s="6">
        <f t="shared" ca="1" si="247"/>
        <v>0.44959508198076925</v>
      </c>
    </row>
    <row r="503" spans="1:21" x14ac:dyDescent="0.2">
      <c r="A503" s="1" t="s">
        <v>681</v>
      </c>
      <c r="L503" s="6">
        <f t="shared" ref="L503:U503" ca="1" si="248">SUM(L$495,L$335-K$335,-L$500,-L$501,-L$502)</f>
        <v>0.62010180856240993</v>
      </c>
      <c r="M503" s="6">
        <f t="shared" ca="1" si="248"/>
        <v>1.8974661079913329</v>
      </c>
      <c r="N503" s="6">
        <f t="shared" ca="1" si="248"/>
        <v>3.0587649084554052</v>
      </c>
      <c r="O503" s="6">
        <f t="shared" ca="1" si="248"/>
        <v>4.2877297419335232</v>
      </c>
      <c r="P503" s="6">
        <f t="shared" ca="1" si="248"/>
        <v>5.6246275532842986</v>
      </c>
      <c r="Q503" s="6">
        <f t="shared" ca="1" si="248"/>
        <v>6.0004623757310149</v>
      </c>
      <c r="R503" s="6">
        <f t="shared" ca="1" si="248"/>
        <v>6.2980978275999764</v>
      </c>
      <c r="S503" s="6">
        <f t="shared" ca="1" si="248"/>
        <v>6.4254849927815947</v>
      </c>
      <c r="T503" s="6">
        <f t="shared" ca="1" si="248"/>
        <v>6.5972976535610588</v>
      </c>
      <c r="U503" s="6">
        <f t="shared" ca="1" si="248"/>
        <v>6.805281636732456</v>
      </c>
    </row>
    <row r="504" spans="1:21" ht="15" x14ac:dyDescent="0.25">
      <c r="A504" s="2" t="s">
        <v>668</v>
      </c>
      <c r="L504" s="37">
        <f t="shared" ref="L504:U504" ca="1" si="249">SUM(L$500:L$503)</f>
        <v>-0.58972321596703736</v>
      </c>
      <c r="M504" s="37">
        <f t="shared" ca="1" si="249"/>
        <v>1.3678923155614751</v>
      </c>
      <c r="N504" s="37">
        <f t="shared" ca="1" si="249"/>
        <v>1.3085453508879006</v>
      </c>
      <c r="O504" s="37">
        <f t="shared" ca="1" si="249"/>
        <v>1.2347247759157405</v>
      </c>
      <c r="P504" s="37">
        <f t="shared" ca="1" si="249"/>
        <v>1.1483002984654256</v>
      </c>
      <c r="Q504" s="37">
        <f t="shared" ca="1" si="249"/>
        <v>1.0367646641311374</v>
      </c>
      <c r="R504" s="37">
        <f t="shared" ca="1" si="249"/>
        <v>1.0624849972267079</v>
      </c>
      <c r="S504" s="37">
        <f t="shared" ca="1" si="249"/>
        <v>1.0935263260765478</v>
      </c>
      <c r="T504" s="37">
        <f t="shared" ca="1" si="249"/>
        <v>1.126495483404236</v>
      </c>
      <c r="U504" s="37">
        <f t="shared" ca="1" si="249"/>
        <v>1.1613941843534565</v>
      </c>
    </row>
    <row r="505" spans="1:21" x14ac:dyDescent="0.2">
      <c r="A505" s="18" t="s">
        <v>340</v>
      </c>
    </row>
    <row r="506" spans="1:21" ht="15" x14ac:dyDescent="0.25">
      <c r="A506" s="2" t="s">
        <v>337</v>
      </c>
      <c r="L506" s="27">
        <f t="shared" ref="L506:U506" ca="1" si="250">L$500</f>
        <v>9.9903204135159456</v>
      </c>
      <c r="M506" s="27">
        <f t="shared" ca="1" si="250"/>
        <v>10.803009808696146</v>
      </c>
      <c r="N506" s="27">
        <f t="shared" ca="1" si="250"/>
        <v>11.504763034896399</v>
      </c>
      <c r="O506" s="27">
        <f t="shared" ca="1" si="250"/>
        <v>12.085788633790713</v>
      </c>
      <c r="P506" s="27">
        <f t="shared" ca="1" si="250"/>
        <v>12.618713611945736</v>
      </c>
      <c r="Q506" s="27">
        <f t="shared" ca="1" si="250"/>
        <v>13.1020616042521</v>
      </c>
      <c r="R506" s="27">
        <f t="shared" ca="1" si="250"/>
        <v>13.559947437707478</v>
      </c>
      <c r="S506" s="27">
        <f t="shared" ca="1" si="250"/>
        <v>14.270154414742223</v>
      </c>
      <c r="T506" s="27">
        <f t="shared" ca="1" si="250"/>
        <v>14.987046430750837</v>
      </c>
      <c r="U506" s="27">
        <f t="shared" ca="1" si="250"/>
        <v>15.704821695938222</v>
      </c>
    </row>
    <row r="507" spans="1:21" ht="15" x14ac:dyDescent="0.25">
      <c r="A507" s="2" t="s">
        <v>156</v>
      </c>
      <c r="L507" s="37">
        <f t="shared" ref="L507:U507" ca="1" si="251">L$324</f>
        <v>3.4275752108214945</v>
      </c>
      <c r="M507" s="37">
        <f t="shared" ca="1" si="251"/>
        <v>3.849969714674188</v>
      </c>
      <c r="N507" s="37">
        <f t="shared" ca="1" si="251"/>
        <v>4.3057072520111053</v>
      </c>
      <c r="O507" s="37">
        <f t="shared" ca="1" si="251"/>
        <v>4.7944585236338231</v>
      </c>
      <c r="P507" s="37">
        <f t="shared" ca="1" si="251"/>
        <v>5.3165302856150749</v>
      </c>
      <c r="Q507" s="37">
        <f t="shared" ca="1" si="251"/>
        <v>5.7386149686232866</v>
      </c>
      <c r="R507" s="37">
        <f t="shared" ca="1" si="251"/>
        <v>6.1622264180293262</v>
      </c>
      <c r="S507" s="37">
        <f t="shared" ca="1" si="251"/>
        <v>6.595379965052155</v>
      </c>
      <c r="T507" s="37">
        <f t="shared" ca="1" si="251"/>
        <v>7.0400972766866889</v>
      </c>
      <c r="U507" s="37">
        <f t="shared" ca="1" si="251"/>
        <v>7.4970363649152754</v>
      </c>
    </row>
    <row r="508" spans="1:21" x14ac:dyDescent="0.2">
      <c r="A508" s="1" t="s">
        <v>675</v>
      </c>
      <c r="L508" s="6">
        <f ca="1">SUM(L$203,L$209)</f>
        <v>2.1316169550955046</v>
      </c>
      <c r="M508" s="6">
        <f t="shared" ref="M508:U508" ca="1" si="252">SUM(M$203,M$209)</f>
        <v>2.2935701101627917</v>
      </c>
      <c r="N508" s="6">
        <f t="shared" ca="1" si="252"/>
        <v>2.5153122865319788</v>
      </c>
      <c r="O508" s="6">
        <f t="shared" ca="1" si="252"/>
        <v>2.7945863312123791</v>
      </c>
      <c r="P508" s="6">
        <f t="shared" ca="1" si="252"/>
        <v>3.1280968368559545</v>
      </c>
      <c r="Q508" s="6">
        <f t="shared" ca="1" si="252"/>
        <v>3.5158576765938179</v>
      </c>
      <c r="R508" s="6">
        <f t="shared" ca="1" si="252"/>
        <v>3.9208287870259984</v>
      </c>
      <c r="S508" s="6">
        <f t="shared" ca="1" si="252"/>
        <v>4.3438140173735142</v>
      </c>
      <c r="T508" s="6">
        <f t="shared" ca="1" si="252"/>
        <v>4.7856135303905765</v>
      </c>
      <c r="U508" s="6">
        <f t="shared" ca="1" si="252"/>
        <v>5.247104717305934</v>
      </c>
    </row>
    <row r="509" spans="1:21" x14ac:dyDescent="0.2">
      <c r="A509" s="1" t="s">
        <v>678</v>
      </c>
      <c r="L509" s="6">
        <f t="shared" ref="L509:U509" si="253">L$254</f>
        <v>0.70199999999999996</v>
      </c>
      <c r="M509" s="6">
        <f t="shared" si="253"/>
        <v>0.72399999999999998</v>
      </c>
      <c r="N509" s="6">
        <f t="shared" si="253"/>
        <v>0.745</v>
      </c>
      <c r="O509" s="6">
        <f t="shared" si="253"/>
        <v>0.76600000000000001</v>
      </c>
      <c r="P509" s="6">
        <f t="shared" si="253"/>
        <v>0.78900000000000003</v>
      </c>
      <c r="Q509" s="6">
        <f t="shared" si="253"/>
        <v>0.81399999999999995</v>
      </c>
      <c r="R509" s="6">
        <f t="shared" si="253"/>
        <v>0.83799999999999997</v>
      </c>
      <c r="S509" s="6">
        <f t="shared" si="253"/>
        <v>0.86099999999999999</v>
      </c>
      <c r="T509" s="6">
        <f t="shared" si="253"/>
        <v>0.88400000000000001</v>
      </c>
      <c r="U509" s="6">
        <f t="shared" si="253"/>
        <v>0.90600000000000003</v>
      </c>
    </row>
    <row r="510" spans="1:21" x14ac:dyDescent="0.2">
      <c r="A510" s="1" t="s">
        <v>688</v>
      </c>
      <c r="L510" s="6">
        <f t="shared" ref="L510:U510" si="254">L$465-K$465</f>
        <v>-0.28568139404159432</v>
      </c>
      <c r="M510" s="6">
        <f t="shared" si="254"/>
        <v>-0.28192242833052461</v>
      </c>
      <c r="N510" s="6">
        <f t="shared" si="254"/>
        <v>-0.27722372119167904</v>
      </c>
      <c r="O510" s="6">
        <f t="shared" si="254"/>
        <v>-0.26876604834176465</v>
      </c>
      <c r="P510" s="6">
        <f t="shared" si="254"/>
        <v>-0.26312759977515565</v>
      </c>
      <c r="Q510" s="6">
        <f t="shared" si="254"/>
        <v>-0.26030837549184849</v>
      </c>
      <c r="R510" s="6">
        <f t="shared" si="254"/>
        <v>-0.26688656548622891</v>
      </c>
      <c r="S510" s="6">
        <f t="shared" si="254"/>
        <v>-0.27158527262506915</v>
      </c>
      <c r="T510" s="6">
        <f t="shared" si="254"/>
        <v>-0.2772237211916817</v>
      </c>
      <c r="U510" s="6">
        <f t="shared" si="254"/>
        <v>-0.28004294547498532</v>
      </c>
    </row>
    <row r="511" spans="1:21" x14ac:dyDescent="0.2">
      <c r="A511" s="1" t="s">
        <v>689</v>
      </c>
      <c r="L511" s="6">
        <f t="shared" ref="L511:U511" ca="1" si="255">L$459-K$459</f>
        <v>5.9207054665437464E-5</v>
      </c>
      <c r="M511" s="6">
        <f t="shared" ca="1" si="255"/>
        <v>6.0579872832844904E-5</v>
      </c>
      <c r="N511" s="6">
        <f t="shared" ca="1" si="255"/>
        <v>6.2009086897556014E-5</v>
      </c>
      <c r="O511" s="6">
        <f t="shared" ca="1" si="255"/>
        <v>6.3366151232394259E-5</v>
      </c>
      <c r="P511" s="6">
        <f t="shared" ca="1" si="255"/>
        <v>6.4630508579210846E-5</v>
      </c>
      <c r="Q511" s="6">
        <f t="shared" ca="1" si="255"/>
        <v>6.5929773731848718E-5</v>
      </c>
      <c r="R511" s="6">
        <f t="shared" ca="1" si="255"/>
        <v>6.7108023434610774E-5</v>
      </c>
      <c r="S511" s="6">
        <f t="shared" ca="1" si="255"/>
        <v>6.8255057438811658E-5</v>
      </c>
      <c r="T511" s="6">
        <f t="shared" ca="1" si="255"/>
        <v>6.9474876593970947E-5</v>
      </c>
      <c r="U511" s="6">
        <f t="shared" ca="1" si="255"/>
        <v>7.053375853446767E-5</v>
      </c>
    </row>
    <row r="512" spans="1:21" x14ac:dyDescent="0.2">
      <c r="A512" s="1" t="s">
        <v>690</v>
      </c>
      <c r="L512" s="6">
        <f t="shared" ref="L512:U512" ca="1" si="256">-L$331</f>
        <v>-0.13363874947188845</v>
      </c>
      <c r="M512" s="6">
        <f t="shared" ca="1" si="256"/>
        <v>-0.13973213301761553</v>
      </c>
      <c r="N512" s="6">
        <f t="shared" ca="1" si="256"/>
        <v>-0.14595836062419112</v>
      </c>
      <c r="O512" s="6">
        <f t="shared" ca="1" si="256"/>
        <v>-0.1523440165745116</v>
      </c>
      <c r="P512" s="6">
        <f t="shared" ca="1" si="256"/>
        <v>-0.1589465167186887</v>
      </c>
      <c r="Q512" s="6">
        <f t="shared" ca="1" si="256"/>
        <v>-0.16577637904253908</v>
      </c>
      <c r="R512" s="6">
        <f t="shared" ca="1" si="256"/>
        <v>-0.17282185162729086</v>
      </c>
      <c r="S512" s="6">
        <f t="shared" ca="1" si="256"/>
        <v>-0.18010391789078878</v>
      </c>
      <c r="T512" s="6">
        <f t="shared" ca="1" si="256"/>
        <v>-0.18762920436092342</v>
      </c>
      <c r="U512" s="6">
        <f t="shared" ca="1" si="256"/>
        <v>-0.19542045953723822</v>
      </c>
    </row>
    <row r="513" spans="1:21" ht="15" x14ac:dyDescent="0.25">
      <c r="A513" s="2" t="s">
        <v>679</v>
      </c>
      <c r="L513" s="37">
        <f t="shared" ref="L513:U513" ca="1" si="257">-SUM(L$508:L$512)</f>
        <v>-2.414356018636687</v>
      </c>
      <c r="M513" s="37">
        <f t="shared" ca="1" si="257"/>
        <v>-2.5959761286874845</v>
      </c>
      <c r="N513" s="37">
        <f t="shared" ca="1" si="257"/>
        <v>-2.8371922138030063</v>
      </c>
      <c r="O513" s="37">
        <f t="shared" ca="1" si="257"/>
        <v>-3.139539632447335</v>
      </c>
      <c r="P513" s="37">
        <f t="shared" ca="1" si="257"/>
        <v>-3.4950873508706897</v>
      </c>
      <c r="Q513" s="37">
        <f t="shared" ca="1" si="257"/>
        <v>-3.9038388518331621</v>
      </c>
      <c r="R513" s="37">
        <f t="shared" ca="1" si="257"/>
        <v>-4.3191874779359125</v>
      </c>
      <c r="S513" s="37">
        <f t="shared" ca="1" si="257"/>
        <v>-4.7531930819150947</v>
      </c>
      <c r="T513" s="37">
        <f t="shared" ca="1" si="257"/>
        <v>-5.2048300797145659</v>
      </c>
      <c r="U513" s="37">
        <f t="shared" ca="1" si="257"/>
        <v>-5.6777118460522447</v>
      </c>
    </row>
    <row r="514" spans="1:21" x14ac:dyDescent="0.2">
      <c r="A514" s="1" t="s">
        <v>201</v>
      </c>
      <c r="L514" s="6">
        <f t="shared" ref="L514:U514" ca="1" si="258">L$344-K$344</f>
        <v>0.94759001505761375</v>
      </c>
      <c r="M514" s="6">
        <f t="shared" ca="1" si="258"/>
        <v>1.0667846195777848</v>
      </c>
      <c r="N514" s="6">
        <f t="shared" ca="1" si="258"/>
        <v>1.0475647349464694</v>
      </c>
      <c r="O514" s="6">
        <f t="shared" ca="1" si="258"/>
        <v>1.0756758857329878</v>
      </c>
      <c r="P514" s="6">
        <f t="shared" ca="1" si="258"/>
        <v>1.1092694458602423</v>
      </c>
      <c r="Q514" s="6">
        <f t="shared" ca="1" si="258"/>
        <v>1.1409282695456682</v>
      </c>
      <c r="R514" s="6">
        <f t="shared" ca="1" si="258"/>
        <v>1.1711112425381849</v>
      </c>
      <c r="S514" s="6">
        <f t="shared" ca="1" si="258"/>
        <v>1.2047462405017875</v>
      </c>
      <c r="T514" s="6">
        <f t="shared" ca="1" si="258"/>
        <v>1.2398109681439244</v>
      </c>
      <c r="U514" s="6">
        <f t="shared" ca="1" si="258"/>
        <v>1.2767074688663413</v>
      </c>
    </row>
    <row r="515" spans="1:21" x14ac:dyDescent="0.2">
      <c r="A515" s="1" t="s">
        <v>202</v>
      </c>
      <c r="L515" s="6">
        <f ca="1">L$147-L$323</f>
        <v>0.30486108863905492</v>
      </c>
      <c r="M515" s="6">
        <f t="shared" ref="M515:U515" ca="1" si="259">M$147-M$323</f>
        <v>0.31491484132364433</v>
      </c>
      <c r="N515" s="6">
        <f t="shared" ca="1" si="259"/>
        <v>0.31575175226937596</v>
      </c>
      <c r="O515" s="6">
        <f t="shared" ca="1" si="259"/>
        <v>0.31532842787556692</v>
      </c>
      <c r="P515" s="6">
        <f t="shared" ca="1" si="259"/>
        <v>0.31155114808656204</v>
      </c>
      <c r="Q515" s="6">
        <f t="shared" ca="1" si="259"/>
        <v>0.30640274436415771</v>
      </c>
      <c r="R515" s="6">
        <f t="shared" ca="1" si="259"/>
        <v>0.3029023993988344</v>
      </c>
      <c r="S515" s="6">
        <f t="shared" ca="1" si="259"/>
        <v>0.30001586189788415</v>
      </c>
      <c r="T515" s="6">
        <f t="shared" ca="1" si="259"/>
        <v>0.29873231536095901</v>
      </c>
      <c r="U515" s="6">
        <f t="shared" ca="1" si="259"/>
        <v>0.29601462734746742</v>
      </c>
    </row>
    <row r="516" spans="1:21" x14ac:dyDescent="0.2">
      <c r="A516" s="1" t="s">
        <v>203</v>
      </c>
      <c r="L516" s="6">
        <f t="shared" ref="L516:U516" ca="1" si="260">L$398-K$398</f>
        <v>1.4801763666359435E-2</v>
      </c>
      <c r="M516" s="6">
        <f t="shared" ca="1" si="260"/>
        <v>1.5144968208211207E-2</v>
      </c>
      <c r="N516" s="6">
        <f t="shared" ca="1" si="260"/>
        <v>1.5502271724389005E-2</v>
      </c>
      <c r="O516" s="6">
        <f t="shared" ca="1" si="260"/>
        <v>1.5841537808098494E-2</v>
      </c>
      <c r="P516" s="6">
        <f t="shared" ca="1" si="260"/>
        <v>1.6157627144802733E-2</v>
      </c>
      <c r="Q516" s="6">
        <f t="shared" ca="1" si="260"/>
        <v>1.6482443432962235E-2</v>
      </c>
      <c r="R516" s="6">
        <f t="shared" ca="1" si="260"/>
        <v>1.6777005858652605E-2</v>
      </c>
      <c r="S516" s="6">
        <f t="shared" ca="1" si="260"/>
        <v>1.7063764359702804E-2</v>
      </c>
      <c r="T516" s="6">
        <f t="shared" ca="1" si="260"/>
        <v>1.7368719148492806E-2</v>
      </c>
      <c r="U516" s="6">
        <f t="shared" ca="1" si="260"/>
        <v>1.7633439633616854E-2</v>
      </c>
    </row>
    <row r="517" spans="1:21" x14ac:dyDescent="0.2">
      <c r="A517" s="1" t="s">
        <v>204</v>
      </c>
      <c r="L517" s="6">
        <f t="shared" ref="L517:U517" ca="1" si="261">L$402-K$402</f>
        <v>3.8662206696530532E-2</v>
      </c>
      <c r="M517" s="6">
        <f t="shared" ca="1" si="261"/>
        <v>3.9558656959847616E-2</v>
      </c>
      <c r="N517" s="6">
        <f t="shared" ca="1" si="261"/>
        <v>4.0491933744104092E-2</v>
      </c>
      <c r="O517" s="6">
        <f t="shared" ca="1" si="261"/>
        <v>4.1378096754753235E-2</v>
      </c>
      <c r="P517" s="6">
        <f t="shared" ca="1" si="261"/>
        <v>4.2203722102224672E-2</v>
      </c>
      <c r="Q517" s="6">
        <f t="shared" ca="1" si="261"/>
        <v>4.305214224689724E-2</v>
      </c>
      <c r="R517" s="6">
        <f t="shared" ca="1" si="261"/>
        <v>4.3821539302800749E-2</v>
      </c>
      <c r="S517" s="6">
        <f t="shared" ca="1" si="261"/>
        <v>4.4570552507543715E-2</v>
      </c>
      <c r="T517" s="6">
        <f t="shared" ca="1" si="261"/>
        <v>4.5367094415863063E-2</v>
      </c>
      <c r="U517" s="6">
        <f t="shared" ca="1" si="261"/>
        <v>4.6058544323007489E-2</v>
      </c>
    </row>
    <row r="518" spans="1:21" x14ac:dyDescent="0.2">
      <c r="A518" s="1" t="s">
        <v>691</v>
      </c>
      <c r="L518" s="6">
        <f t="shared" ref="L518:U518" ca="1" si="262">L$455-K$455</f>
        <v>5.3463970362889968E-2</v>
      </c>
      <c r="M518" s="6">
        <f t="shared" ca="1" si="262"/>
        <v>5.4703625168058823E-2</v>
      </c>
      <c r="N518" s="6">
        <f t="shared" ca="1" si="262"/>
        <v>5.5994205468493097E-2</v>
      </c>
      <c r="O518" s="6">
        <f t="shared" ca="1" si="262"/>
        <v>5.7219634562851729E-2</v>
      </c>
      <c r="P518" s="6">
        <f t="shared" ca="1" si="262"/>
        <v>5.8361349247027405E-2</v>
      </c>
      <c r="Q518" s="6">
        <f t="shared" ca="1" si="262"/>
        <v>5.9534585679859475E-2</v>
      </c>
      <c r="R518" s="6">
        <f t="shared" ca="1" si="262"/>
        <v>6.0598545161453354E-2</v>
      </c>
      <c r="S518" s="6">
        <f t="shared" ca="1" si="262"/>
        <v>6.1634316867246519E-2</v>
      </c>
      <c r="T518" s="6">
        <f t="shared" ca="1" si="262"/>
        <v>6.2735813564355869E-2</v>
      </c>
      <c r="U518" s="6">
        <f t="shared" ca="1" si="262"/>
        <v>6.3691983956624343E-2</v>
      </c>
    </row>
    <row r="519" spans="1:21" x14ac:dyDescent="0.2">
      <c r="A519" s="1" t="s">
        <v>692</v>
      </c>
      <c r="L519" s="6">
        <f t="shared" ref="L519:U519" ca="1" si="263">SUM(L$451-K$451,L$470-K$470)</f>
        <v>0.57379178372623585</v>
      </c>
      <c r="M519" s="6">
        <f t="shared" ca="1" si="263"/>
        <v>0.62279603696750385</v>
      </c>
      <c r="N519" s="6">
        <f t="shared" ca="1" si="263"/>
        <v>0.62484955352706884</v>
      </c>
      <c r="O519" s="6">
        <f t="shared" ca="1" si="263"/>
        <v>0.64213668927463807</v>
      </c>
      <c r="P519" s="6">
        <f t="shared" ca="1" si="263"/>
        <v>0.66100811931961712</v>
      </c>
      <c r="Q519" s="6">
        <f t="shared" ca="1" si="263"/>
        <v>0.67723071884147412</v>
      </c>
      <c r="R519" s="6">
        <f t="shared" ca="1" si="263"/>
        <v>0.69277533674775249</v>
      </c>
      <c r="S519" s="6">
        <f t="shared" ca="1" si="263"/>
        <v>0.71034735947924776</v>
      </c>
      <c r="T519" s="6">
        <f t="shared" ca="1" si="263"/>
        <v>0.72889921925502321</v>
      </c>
      <c r="U519" s="6">
        <f t="shared" ca="1" si="263"/>
        <v>0.74773839586578994</v>
      </c>
    </row>
    <row r="520" spans="1:21" ht="15" x14ac:dyDescent="0.25">
      <c r="A520" s="2" t="s">
        <v>207</v>
      </c>
      <c r="L520" s="37">
        <f t="shared" ref="L520:U520" ca="1" si="264">SUM(L$514:L$517,-L$518,-L$519)</f>
        <v>0.67865931997043294</v>
      </c>
      <c r="M520" s="37">
        <f t="shared" ca="1" si="264"/>
        <v>0.7589034239339254</v>
      </c>
      <c r="N520" s="37">
        <f t="shared" ca="1" si="264"/>
        <v>0.73846693368877681</v>
      </c>
      <c r="O520" s="37">
        <f t="shared" ca="1" si="264"/>
        <v>0.74886762433391674</v>
      </c>
      <c r="P520" s="37">
        <f t="shared" ca="1" si="264"/>
        <v>0.75981247462718726</v>
      </c>
      <c r="Q520" s="37">
        <f t="shared" ca="1" si="264"/>
        <v>0.77010029506835176</v>
      </c>
      <c r="R520" s="37">
        <f t="shared" ca="1" si="264"/>
        <v>0.78123830518926685</v>
      </c>
      <c r="S520" s="37">
        <f t="shared" ca="1" si="264"/>
        <v>0.79441474292042358</v>
      </c>
      <c r="T520" s="37">
        <f t="shared" ca="1" si="264"/>
        <v>0.80964406424986013</v>
      </c>
      <c r="U520" s="37">
        <f t="shared" ca="1" si="264"/>
        <v>0.82498370034801871</v>
      </c>
    </row>
    <row r="521" spans="1:21" ht="15" x14ac:dyDescent="0.25">
      <c r="A521" s="2" t="s">
        <v>1230</v>
      </c>
      <c r="L521" s="27">
        <f t="shared" ref="L521:U521" ca="1" si="265">SUM(L$506,L$507,L$513,L$520)</f>
        <v>11.682198925671187</v>
      </c>
      <c r="M521" s="27">
        <f t="shared" ca="1" si="265"/>
        <v>12.815906818616774</v>
      </c>
      <c r="N521" s="27">
        <f t="shared" ca="1" si="265"/>
        <v>13.711745006793276</v>
      </c>
      <c r="O521" s="27">
        <f t="shared" ca="1" si="265"/>
        <v>14.489575149311117</v>
      </c>
      <c r="P521" s="27">
        <f t="shared" ca="1" si="265"/>
        <v>15.199969021317306</v>
      </c>
      <c r="Q521" s="27">
        <f t="shared" ca="1" si="265"/>
        <v>15.706938016110577</v>
      </c>
      <c r="R521" s="27">
        <f t="shared" ca="1" si="265"/>
        <v>16.184224682990159</v>
      </c>
      <c r="S521" s="27">
        <f t="shared" ca="1" si="265"/>
        <v>16.906756040799706</v>
      </c>
      <c r="T521" s="27">
        <f t="shared" ca="1" si="265"/>
        <v>17.631957691972818</v>
      </c>
      <c r="U521" s="27">
        <f t="shared" ca="1" si="265"/>
        <v>18.34912991514927</v>
      </c>
    </row>
    <row r="522" spans="1:21" ht="15" x14ac:dyDescent="0.25">
      <c r="A522" s="26" t="s">
        <v>669</v>
      </c>
      <c r="B522" s="4" t="str">
        <f>$B$58</f>
        <v>Projected Years only</v>
      </c>
      <c r="L522" s="5" t="str">
        <f t="shared" ref="L522:U522" ca="1" si="266">IF(ROUND(SUM(L$46,-L$521),3)=0,"OK","ERROR")</f>
        <v>OK</v>
      </c>
      <c r="M522" s="5" t="str">
        <f t="shared" ca="1" si="266"/>
        <v>OK</v>
      </c>
      <c r="N522" s="5" t="str">
        <f t="shared" ca="1" si="266"/>
        <v>OK</v>
      </c>
      <c r="O522" s="5" t="str">
        <f t="shared" ca="1" si="266"/>
        <v>OK</v>
      </c>
      <c r="P522" s="5" t="str">
        <f t="shared" ca="1" si="266"/>
        <v>OK</v>
      </c>
      <c r="Q522" s="5" t="str">
        <f t="shared" ca="1" si="266"/>
        <v>OK</v>
      </c>
      <c r="R522" s="5" t="str">
        <f t="shared" ca="1" si="266"/>
        <v>OK</v>
      </c>
      <c r="S522" s="5" t="str">
        <f t="shared" ca="1" si="266"/>
        <v>OK</v>
      </c>
      <c r="T522" s="5" t="str">
        <f t="shared" ca="1" si="266"/>
        <v>OK</v>
      </c>
      <c r="U522" s="5" t="str">
        <f t="shared" ca="1" si="266"/>
        <v>OK</v>
      </c>
    </row>
    <row r="523" spans="1:21" ht="15" x14ac:dyDescent="0.25">
      <c r="A523" s="26"/>
      <c r="B523" s="4"/>
      <c r="L523" s="5"/>
      <c r="M523" s="5"/>
      <c r="N523" s="5"/>
      <c r="O523" s="5"/>
      <c r="P523" s="5"/>
      <c r="Q523" s="5"/>
      <c r="R523" s="5"/>
      <c r="S523" s="5"/>
      <c r="T523" s="5"/>
      <c r="U523" s="5"/>
    </row>
    <row r="524" spans="1:21" ht="15" x14ac:dyDescent="0.25">
      <c r="A524" s="26" t="s">
        <v>1237</v>
      </c>
      <c r="B524" s="4"/>
      <c r="L524" s="5"/>
      <c r="M524" s="5"/>
      <c r="N524" s="5"/>
      <c r="O524" s="5"/>
      <c r="P524" s="5"/>
      <c r="Q524" s="5"/>
      <c r="R524" s="5"/>
      <c r="S524" s="5"/>
      <c r="T524" s="5"/>
      <c r="U524" s="5"/>
    </row>
    <row r="525" spans="1:21" x14ac:dyDescent="0.2">
      <c r="A525" s="1" t="s">
        <v>1238</v>
      </c>
      <c r="B525" s="4" t="str">
        <f>$B$37</f>
        <v>From Fiscal</v>
      </c>
      <c r="D525" s="14">
        <f>'Fiscal Forecasts'!D$139</f>
        <v>95.649000000000001</v>
      </c>
      <c r="E525" s="14">
        <f>'Fiscal Forecasts'!E$139</f>
        <v>95.037000000000006</v>
      </c>
      <c r="F525" s="14">
        <f>'Fiscal Forecasts'!F$139</f>
        <v>94.106999999999999</v>
      </c>
      <c r="G525" s="15">
        <f>'Fiscal Forecasts'!G$139</f>
        <v>97.248000000000005</v>
      </c>
      <c r="H525" s="15">
        <f>'Fiscal Forecasts'!H$139</f>
        <v>91.655000000000001</v>
      </c>
      <c r="I525" s="15">
        <f>'Fiscal Forecasts'!I$139</f>
        <v>93.869</v>
      </c>
      <c r="J525" s="15">
        <f>'Fiscal Forecasts'!J$139</f>
        <v>92.787999999999997</v>
      </c>
      <c r="K525" s="15">
        <f>'Fiscal Forecasts'!K$139</f>
        <v>97.885000000000005</v>
      </c>
      <c r="L525" s="6">
        <f t="shared" ref="L525:U525" ca="1" si="267">SUM(K$525,L$503)</f>
        <v>98.505101808562415</v>
      </c>
      <c r="M525" s="6">
        <f t="shared" ca="1" si="267"/>
        <v>100.40256791655375</v>
      </c>
      <c r="N525" s="6">
        <f t="shared" ca="1" si="267"/>
        <v>103.46133282500915</v>
      </c>
      <c r="O525" s="6">
        <f t="shared" ca="1" si="267"/>
        <v>107.74906256694267</v>
      </c>
      <c r="P525" s="6">
        <f t="shared" ca="1" si="267"/>
        <v>113.37369012022697</v>
      </c>
      <c r="Q525" s="6">
        <f t="shared" ca="1" si="267"/>
        <v>119.37415249595799</v>
      </c>
      <c r="R525" s="6">
        <f t="shared" ca="1" si="267"/>
        <v>125.67225032355796</v>
      </c>
      <c r="S525" s="6">
        <f t="shared" ca="1" si="267"/>
        <v>132.09773531633957</v>
      </c>
      <c r="T525" s="6">
        <f t="shared" ca="1" si="267"/>
        <v>138.69503296990064</v>
      </c>
      <c r="U525" s="6">
        <f t="shared" ca="1" si="267"/>
        <v>145.50031460663308</v>
      </c>
    </row>
    <row r="526" spans="1:21" x14ac:dyDescent="0.2">
      <c r="A526" s="1" t="s">
        <v>1239</v>
      </c>
      <c r="B526" s="4" t="str">
        <f>$B$37</f>
        <v>From Fiscal</v>
      </c>
      <c r="D526" s="14">
        <f>'Fiscal Forecasts'!D$372</f>
        <v>3.9220000000000002</v>
      </c>
      <c r="E526" s="14">
        <f>'Fiscal Forecasts'!E$372</f>
        <v>3.6040000000000001</v>
      </c>
      <c r="F526" s="14">
        <f>'Fiscal Forecasts'!F$372</f>
        <v>3.53</v>
      </c>
      <c r="G526" s="15">
        <f>'Fiscal Forecasts'!G$372</f>
        <v>3.488</v>
      </c>
      <c r="H526" s="15">
        <f>'Fiscal Forecasts'!H$372</f>
        <v>3.4420000000000002</v>
      </c>
      <c r="I526" s="15">
        <f>'Fiscal Forecasts'!I$372</f>
        <v>3.1989999999999998</v>
      </c>
      <c r="J526" s="15">
        <f>'Fiscal Forecasts'!J$372</f>
        <v>3.4340000000000002</v>
      </c>
      <c r="K526" s="15">
        <f>'Fiscal Forecasts'!K$372</f>
        <v>3.0129999999999999</v>
      </c>
      <c r="L526" s="6">
        <f t="shared" ref="L526:U526" ca="1" si="268">(2*K$525-SUM(L$474,L$475,L$476,L$477,L$488,L$494)+SUM(L$478,L$479,L$481,L$493,L$336-K$336))/(2/L$225-1)</f>
        <v>3.6478404652948835</v>
      </c>
      <c r="M526" s="6">
        <f t="shared" ca="1" si="268"/>
        <v>3.9550450495675262</v>
      </c>
      <c r="N526" s="6">
        <f t="shared" ca="1" si="268"/>
        <v>4.3222278329070107</v>
      </c>
      <c r="O526" s="6">
        <f t="shared" ca="1" si="268"/>
        <v>4.755927187713004</v>
      </c>
      <c r="P526" s="6">
        <f t="shared" ca="1" si="268"/>
        <v>5.2701997906890403</v>
      </c>
      <c r="Q526" s="6">
        <f t="shared" ca="1" si="268"/>
        <v>5.8537020388762802</v>
      </c>
      <c r="R526" s="6">
        <f t="shared" ca="1" si="268"/>
        <v>6.4857836999027878</v>
      </c>
      <c r="S526" s="6">
        <f t="shared" ca="1" si="268"/>
        <v>6.8228076350860238</v>
      </c>
      <c r="T526" s="6">
        <f t="shared" ca="1" si="268"/>
        <v>7.1677055322716026</v>
      </c>
      <c r="U526" s="6">
        <f t="shared" ca="1" si="268"/>
        <v>7.5226471993731199</v>
      </c>
    </row>
    <row r="527" spans="1:21" x14ac:dyDescent="0.2">
      <c r="A527" s="1" t="str">
        <f ca="1">CONCATENATE("Core Crown borrowings with ",100*OFFSET(Assumptions!$B$27,0,$C$1),"% of GDP floor for Gross sovereign-issued debt (GSID)")</f>
        <v>Core Crown borrowings with 20% of GDP floor for Gross sovereign-issued debt (GSID)</v>
      </c>
      <c r="B527" s="4"/>
      <c r="D527" s="14">
        <f>D$525</f>
        <v>95.649000000000001</v>
      </c>
      <c r="E527" s="14">
        <f t="shared" ref="E527:K527" si="269">E$525</f>
        <v>95.037000000000006</v>
      </c>
      <c r="F527" s="14">
        <f t="shared" si="269"/>
        <v>94.106999999999999</v>
      </c>
      <c r="G527" s="15">
        <f t="shared" si="269"/>
        <v>97.248000000000005</v>
      </c>
      <c r="H527" s="15">
        <f t="shared" si="269"/>
        <v>91.655000000000001</v>
      </c>
      <c r="I527" s="15">
        <f t="shared" si="269"/>
        <v>93.869</v>
      </c>
      <c r="J527" s="15">
        <f t="shared" si="269"/>
        <v>92.787999999999997</v>
      </c>
      <c r="K527" s="15">
        <f t="shared" si="269"/>
        <v>97.885000000000005</v>
      </c>
      <c r="L527" s="6">
        <f ca="1">MAX(L$525,SUM(L$69,OFFSET(Assumptions!$B$27,0,$C$1)*L$13))</f>
        <v>98.505101808562415</v>
      </c>
      <c r="M527" s="6">
        <f ca="1">MAX(M$525,SUM(M$69,OFFSET(Assumptions!$B$27,0,$C$1)*M$13))</f>
        <v>100.40256791655375</v>
      </c>
      <c r="N527" s="6">
        <f ca="1">MAX(N$525,SUM(N$69,OFFSET(Assumptions!$B$27,0,$C$1)*N$13))</f>
        <v>103.46133282500915</v>
      </c>
      <c r="O527" s="6">
        <f ca="1">MAX(O$525,SUM(O$69,OFFSET(Assumptions!$B$27,0,$C$1)*O$13))</f>
        <v>107.74906256694267</v>
      </c>
      <c r="P527" s="6">
        <f ca="1">MAX(P$525,SUM(P$69,OFFSET(Assumptions!$B$27,0,$C$1)*P$13))</f>
        <v>113.37369012022697</v>
      </c>
      <c r="Q527" s="6">
        <f ca="1">MAX(Q$525,SUM(Q$69,OFFSET(Assumptions!$B$27,0,$C$1)*Q$13))</f>
        <v>119.37415249595799</v>
      </c>
      <c r="R527" s="6">
        <f ca="1">MAX(R$525,SUM(R$69,OFFSET(Assumptions!$B$27,0,$C$1)*R$13))</f>
        <v>125.67225032355796</v>
      </c>
      <c r="S527" s="6">
        <f ca="1">MAX(S$525,SUM(S$69,OFFSET(Assumptions!$B$27,0,$C$1)*S$13))</f>
        <v>132.09773531633957</v>
      </c>
      <c r="T527" s="6">
        <f ca="1">MAX(T$525,SUM(T$69,OFFSET(Assumptions!$B$27,0,$C$1)*T$13))</f>
        <v>138.69503296990064</v>
      </c>
      <c r="U527" s="6">
        <f ca="1">MAX(U$525,SUM(U$69,OFFSET(Assumptions!$B$27,0,$C$1)*U$13))</f>
        <v>145.50031460663308</v>
      </c>
    </row>
    <row r="528" spans="1:21" x14ac:dyDescent="0.2">
      <c r="A528" s="1" t="str">
        <f ca="1">CONCATENATE("Financial asset generated by GSID having ",100*OFFSET(Assumptions!$B$27,0,$C$1),"% of GDP floor")</f>
        <v>Financial asset generated by GSID having 20% of GDP floor</v>
      </c>
      <c r="B528" s="4"/>
      <c r="D528" s="14">
        <f>SUM(D$527,-D$525)</f>
        <v>0</v>
      </c>
      <c r="E528" s="14">
        <f t="shared" ref="E528:U528" si="270">SUM(E$527,-E$525)</f>
        <v>0</v>
      </c>
      <c r="F528" s="14">
        <f t="shared" si="270"/>
        <v>0</v>
      </c>
      <c r="G528" s="15">
        <f t="shared" si="270"/>
        <v>0</v>
      </c>
      <c r="H528" s="15">
        <f t="shared" si="270"/>
        <v>0</v>
      </c>
      <c r="I528" s="15">
        <f t="shared" si="270"/>
        <v>0</v>
      </c>
      <c r="J528" s="15">
        <f t="shared" si="270"/>
        <v>0</v>
      </c>
      <c r="K528" s="15">
        <f t="shared" si="270"/>
        <v>0</v>
      </c>
      <c r="L528" s="6">
        <f t="shared" ca="1" si="270"/>
        <v>0</v>
      </c>
      <c r="M528" s="6">
        <f t="shared" ca="1" si="270"/>
        <v>0</v>
      </c>
      <c r="N528" s="6">
        <f t="shared" ca="1" si="270"/>
        <v>0</v>
      </c>
      <c r="O528" s="6">
        <f t="shared" ca="1" si="270"/>
        <v>0</v>
      </c>
      <c r="P528" s="6">
        <f t="shared" ca="1" si="270"/>
        <v>0</v>
      </c>
      <c r="Q528" s="6">
        <f t="shared" ca="1" si="270"/>
        <v>0</v>
      </c>
      <c r="R528" s="6">
        <f t="shared" ca="1" si="270"/>
        <v>0</v>
      </c>
      <c r="S528" s="6">
        <f t="shared" ca="1" si="270"/>
        <v>0</v>
      </c>
      <c r="T528" s="6">
        <f t="shared" ca="1" si="270"/>
        <v>0</v>
      </c>
      <c r="U528" s="6">
        <f t="shared" ca="1" si="270"/>
        <v>0</v>
      </c>
    </row>
    <row r="529" spans="1:21" x14ac:dyDescent="0.2">
      <c r="A529" s="1" t="str">
        <f ca="1">CONCATENATE("Core Crown interest payments with ",100*OFFSET(Assumptions!$B$27,0,$C$1),"% of GDP floor for GSID")</f>
        <v>Core Crown interest payments with 20% of GDP floor for GSID</v>
      </c>
      <c r="D529" s="14">
        <f>D$526*D$527/SUM(D$527,-D$528)</f>
        <v>3.9220000000000002</v>
      </c>
      <c r="E529" s="14">
        <f t="shared" ref="E529:U529" si="271">E$526*E$527/SUM(E$527,-E$528)</f>
        <v>3.6039999999999996</v>
      </c>
      <c r="F529" s="14">
        <f t="shared" si="271"/>
        <v>3.53</v>
      </c>
      <c r="G529" s="15">
        <f t="shared" si="271"/>
        <v>3.488</v>
      </c>
      <c r="H529" s="15">
        <f t="shared" si="271"/>
        <v>3.4420000000000002</v>
      </c>
      <c r="I529" s="15">
        <f t="shared" si="271"/>
        <v>3.1989999999999998</v>
      </c>
      <c r="J529" s="15">
        <f t="shared" si="271"/>
        <v>3.4339999999999997</v>
      </c>
      <c r="K529" s="15">
        <f t="shared" si="271"/>
        <v>3.0129999999999999</v>
      </c>
      <c r="L529" s="6">
        <f t="shared" ca="1" si="271"/>
        <v>3.6478404652948835</v>
      </c>
      <c r="M529" s="6">
        <f t="shared" ca="1" si="271"/>
        <v>3.9550450495675262</v>
      </c>
      <c r="N529" s="6">
        <f t="shared" ca="1" si="271"/>
        <v>4.3222278329070107</v>
      </c>
      <c r="O529" s="6">
        <f t="shared" ca="1" si="271"/>
        <v>4.755927187713004</v>
      </c>
      <c r="P529" s="6">
        <f t="shared" ca="1" si="271"/>
        <v>5.2701997906890412</v>
      </c>
      <c r="Q529" s="6">
        <f t="shared" ca="1" si="271"/>
        <v>5.8537020388762802</v>
      </c>
      <c r="R529" s="6">
        <f t="shared" ca="1" si="271"/>
        <v>6.4857836999027878</v>
      </c>
      <c r="S529" s="6">
        <f t="shared" ca="1" si="271"/>
        <v>6.8228076350860238</v>
      </c>
      <c r="T529" s="6">
        <f t="shared" ca="1" si="271"/>
        <v>7.1677055322716026</v>
      </c>
      <c r="U529" s="6">
        <f t="shared" ca="1" si="271"/>
        <v>7.5226471993731208</v>
      </c>
    </row>
    <row r="530" spans="1:21" x14ac:dyDescent="0.2">
      <c r="A530" s="1" t="str">
        <f ca="1">CONCATENATE("Core Crown interest receipts with ",100*OFFSET(Assumptions!$B$27,0,$C$1),"% of GDP floor for GSID")</f>
        <v>Core Crown interest receipts with 20% of GDP floor for GSID</v>
      </c>
      <c r="D530" s="14">
        <f>D$526*D$528/SUM(D$527,-D$528)</f>
        <v>0</v>
      </c>
      <c r="E530" s="14">
        <f t="shared" ref="E530:U530" si="272">E$526*E$528/SUM(E$527,-E$528)</f>
        <v>0</v>
      </c>
      <c r="F530" s="14">
        <f t="shared" si="272"/>
        <v>0</v>
      </c>
      <c r="G530" s="15">
        <f t="shared" si="272"/>
        <v>0</v>
      </c>
      <c r="H530" s="15">
        <f t="shared" si="272"/>
        <v>0</v>
      </c>
      <c r="I530" s="15">
        <f t="shared" si="272"/>
        <v>0</v>
      </c>
      <c r="J530" s="15">
        <f t="shared" si="272"/>
        <v>0</v>
      </c>
      <c r="K530" s="15">
        <f t="shared" si="272"/>
        <v>0</v>
      </c>
      <c r="L530" s="6">
        <f t="shared" ca="1" si="272"/>
        <v>0</v>
      </c>
      <c r="M530" s="6">
        <f t="shared" ca="1" si="272"/>
        <v>0</v>
      </c>
      <c r="N530" s="6">
        <f t="shared" ca="1" si="272"/>
        <v>0</v>
      </c>
      <c r="O530" s="6">
        <f t="shared" ca="1" si="272"/>
        <v>0</v>
      </c>
      <c r="P530" s="6">
        <f t="shared" ca="1" si="272"/>
        <v>0</v>
      </c>
      <c r="Q530" s="6">
        <f t="shared" ca="1" si="272"/>
        <v>0</v>
      </c>
      <c r="R530" s="6">
        <f t="shared" ca="1" si="272"/>
        <v>0</v>
      </c>
      <c r="S530" s="6">
        <f t="shared" ca="1" si="272"/>
        <v>0</v>
      </c>
      <c r="T530" s="6">
        <f t="shared" ca="1" si="272"/>
        <v>0</v>
      </c>
      <c r="U530" s="6">
        <f t="shared" ca="1" si="272"/>
        <v>0</v>
      </c>
    </row>
    <row r="532" spans="1:21" x14ac:dyDescent="0.2">
      <c r="A532" s="1" t="s">
        <v>1240</v>
      </c>
      <c r="B532" s="4" t="str">
        <f>$B$37</f>
        <v>From Fiscal</v>
      </c>
      <c r="D532" s="14">
        <f>'Fiscal Forecasts'!D$130</f>
        <v>112.58</v>
      </c>
      <c r="E532" s="14">
        <f>'Fiscal Forecasts'!E$130</f>
        <v>113.956</v>
      </c>
      <c r="F532" s="14">
        <f>'Fiscal Forecasts'!F$130</f>
        <v>111.806</v>
      </c>
      <c r="G532" s="15">
        <f>'Fiscal Forecasts'!G$130</f>
        <v>115.97799999999999</v>
      </c>
      <c r="H532" s="15">
        <f>'Fiscal Forecasts'!H$130</f>
        <v>112.89</v>
      </c>
      <c r="I532" s="15">
        <f>'Fiscal Forecasts'!I$130</f>
        <v>117.176</v>
      </c>
      <c r="J532" s="15">
        <f>'Fiscal Forecasts'!J$130</f>
        <v>118.173</v>
      </c>
      <c r="K532" s="15">
        <f>'Fiscal Forecasts'!K$130</f>
        <v>125.399</v>
      </c>
      <c r="L532" s="6">
        <f t="shared" ref="L532:U532" ca="1" si="273">SUM(K$532,L$99)</f>
        <v>125.81344376421633</v>
      </c>
      <c r="M532" s="6">
        <f t="shared" ca="1" si="273"/>
        <v>129.20730257883037</v>
      </c>
      <c r="N532" s="6">
        <f t="shared" ca="1" si="273"/>
        <v>133.80972847792631</v>
      </c>
      <c r="O532" s="6">
        <f t="shared" ca="1" si="273"/>
        <v>139.65922349759953</v>
      </c>
      <c r="P532" s="6">
        <f t="shared" ca="1" si="273"/>
        <v>146.93661609754787</v>
      </c>
      <c r="Q532" s="6">
        <f t="shared" ca="1" si="273"/>
        <v>154.64832835312424</v>
      </c>
      <c r="R532" s="6">
        <f t="shared" ca="1" si="273"/>
        <v>162.82196366348731</v>
      </c>
      <c r="S532" s="6">
        <f t="shared" ca="1" si="273"/>
        <v>171.08746371468635</v>
      </c>
      <c r="T532" s="6">
        <f t="shared" ca="1" si="273"/>
        <v>179.54673750740099</v>
      </c>
      <c r="U532" s="6">
        <f t="shared" ca="1" si="273"/>
        <v>188.18035109134939</v>
      </c>
    </row>
    <row r="533" spans="1:21" x14ac:dyDescent="0.2">
      <c r="A533" s="1" t="s">
        <v>1241</v>
      </c>
      <c r="B533" s="4" t="str">
        <f>$B$37</f>
        <v>From Fiscal</v>
      </c>
      <c r="D533" s="14">
        <f>'Fiscal Forecasts'!D$77</f>
        <v>4.5979999999999999</v>
      </c>
      <c r="E533" s="14">
        <f>'Fiscal Forecasts'!E$77</f>
        <v>4.3330000000000002</v>
      </c>
      <c r="F533" s="14">
        <f>'Fiscal Forecasts'!F$77</f>
        <v>4.1790000000000003</v>
      </c>
      <c r="G533" s="15">
        <f>'Fiscal Forecasts'!G$77</f>
        <v>4.08</v>
      </c>
      <c r="H533" s="15">
        <f>'Fiscal Forecasts'!H$77</f>
        <v>4.0519999999999996</v>
      </c>
      <c r="I533" s="15">
        <f>'Fiscal Forecasts'!I$77</f>
        <v>3.887</v>
      </c>
      <c r="J533" s="15">
        <f>'Fiscal Forecasts'!J$77</f>
        <v>4.1189999999999998</v>
      </c>
      <c r="K533" s="15">
        <f>'Fiscal Forecasts'!K$77</f>
        <v>3.76</v>
      </c>
      <c r="L533" s="6">
        <f t="shared" ref="L533:U533" ca="1" si="274">(2*K$532-SUM(L$84,L$97,L$98)+SUM(L$85,L$86,L$88,L$100,L$338-K$338))/(2/L$225-1)</f>
        <v>4.6708970265751262</v>
      </c>
      <c r="M533" s="6">
        <f t="shared" ca="1" si="274"/>
        <v>5.0777636079613995</v>
      </c>
      <c r="N533" s="6">
        <f t="shared" ca="1" si="274"/>
        <v>5.5835735129457076</v>
      </c>
      <c r="O533" s="6">
        <f t="shared" ca="1" si="274"/>
        <v>6.1658243652036022</v>
      </c>
      <c r="P533" s="6">
        <f t="shared" ca="1" si="274"/>
        <v>6.8394582202191794</v>
      </c>
      <c r="Q533" s="6">
        <f t="shared" ca="1" si="274"/>
        <v>7.594583156223444</v>
      </c>
      <c r="R533" s="6">
        <f t="shared" ca="1" si="274"/>
        <v>8.4129627384402017</v>
      </c>
      <c r="S533" s="6">
        <f t="shared" ca="1" si="274"/>
        <v>8.8485998255216014</v>
      </c>
      <c r="T533" s="6">
        <f t="shared" ca="1" si="274"/>
        <v>9.2918063323853151</v>
      </c>
      <c r="U533" s="6">
        <f t="shared" ca="1" si="274"/>
        <v>9.7447678478668855</v>
      </c>
    </row>
    <row r="534" spans="1:21" x14ac:dyDescent="0.2">
      <c r="A534" s="1" t="str">
        <f ca="1">CONCATENATE("Total Crown borrowings with ",100*OFFSET(Assumptions!$B$27,0,$C$1),"% of GDP floor for Gross sovereign-issued debt (GSID)")</f>
        <v>Total Crown borrowings with 20% of GDP floor for Gross sovereign-issued debt (GSID)</v>
      </c>
      <c r="D534" s="14">
        <f>D$532</f>
        <v>112.58</v>
      </c>
      <c r="E534" s="14">
        <f t="shared" ref="E534:K534" si="275">E$532</f>
        <v>113.956</v>
      </c>
      <c r="F534" s="14">
        <f t="shared" si="275"/>
        <v>111.806</v>
      </c>
      <c r="G534" s="15">
        <f t="shared" si="275"/>
        <v>115.97799999999999</v>
      </c>
      <c r="H534" s="15">
        <f t="shared" si="275"/>
        <v>112.89</v>
      </c>
      <c r="I534" s="15">
        <f t="shared" si="275"/>
        <v>117.176</v>
      </c>
      <c r="J534" s="15">
        <f t="shared" si="275"/>
        <v>118.173</v>
      </c>
      <c r="K534" s="15">
        <f t="shared" si="275"/>
        <v>125.399</v>
      </c>
      <c r="L534" s="6">
        <f t="shared" ref="L534:U534" ca="1" si="276">SUM(L$532,L$527-L$525)</f>
        <v>125.81344376421633</v>
      </c>
      <c r="M534" s="6">
        <f t="shared" ca="1" si="276"/>
        <v>129.20730257883037</v>
      </c>
      <c r="N534" s="6">
        <f t="shared" ca="1" si="276"/>
        <v>133.80972847792631</v>
      </c>
      <c r="O534" s="6">
        <f t="shared" ca="1" si="276"/>
        <v>139.65922349759953</v>
      </c>
      <c r="P534" s="6">
        <f t="shared" ca="1" si="276"/>
        <v>146.93661609754787</v>
      </c>
      <c r="Q534" s="6">
        <f t="shared" ca="1" si="276"/>
        <v>154.64832835312424</v>
      </c>
      <c r="R534" s="6">
        <f t="shared" ca="1" si="276"/>
        <v>162.82196366348731</v>
      </c>
      <c r="S534" s="6">
        <f t="shared" ca="1" si="276"/>
        <v>171.08746371468635</v>
      </c>
      <c r="T534" s="6">
        <f t="shared" ca="1" si="276"/>
        <v>179.54673750740099</v>
      </c>
      <c r="U534" s="6">
        <f t="shared" ca="1" si="276"/>
        <v>188.18035109134939</v>
      </c>
    </row>
    <row r="535" spans="1:21" x14ac:dyDescent="0.2">
      <c r="A535" s="1" t="str">
        <f ca="1">CONCATENATE("Total Crown interest payments with ",100*OFFSET(Assumptions!$B$27,0,$C$1),"% of GDP floor for GSID")</f>
        <v>Total Crown interest payments with 20% of GDP floor for GSID</v>
      </c>
      <c r="D535" s="14">
        <f>D$533*D$534/SUM(D$534,-D$528)</f>
        <v>4.5979999999999999</v>
      </c>
      <c r="E535" s="14">
        <f t="shared" ref="E535:U535" si="277">E$533*E$534/SUM(E$534,-E$528)</f>
        <v>4.3330000000000002</v>
      </c>
      <c r="F535" s="14">
        <f t="shared" si="277"/>
        <v>4.1790000000000003</v>
      </c>
      <c r="G535" s="15">
        <f t="shared" si="277"/>
        <v>4.08</v>
      </c>
      <c r="H535" s="15">
        <f t="shared" si="277"/>
        <v>4.0519999999999996</v>
      </c>
      <c r="I535" s="15">
        <f t="shared" si="277"/>
        <v>3.887</v>
      </c>
      <c r="J535" s="15">
        <f t="shared" si="277"/>
        <v>4.1189999999999998</v>
      </c>
      <c r="K535" s="15">
        <f t="shared" si="277"/>
        <v>3.76</v>
      </c>
      <c r="L535" s="6">
        <f t="shared" ca="1" si="277"/>
        <v>4.6708970265751262</v>
      </c>
      <c r="M535" s="6">
        <f t="shared" ca="1" si="277"/>
        <v>5.0777636079613995</v>
      </c>
      <c r="N535" s="6">
        <f t="shared" ca="1" si="277"/>
        <v>5.5835735129457076</v>
      </c>
      <c r="O535" s="6">
        <f t="shared" ca="1" si="277"/>
        <v>6.1658243652036022</v>
      </c>
      <c r="P535" s="6">
        <f t="shared" ca="1" si="277"/>
        <v>6.8394582202191794</v>
      </c>
      <c r="Q535" s="6">
        <f t="shared" ca="1" si="277"/>
        <v>7.594583156223444</v>
      </c>
      <c r="R535" s="6">
        <f t="shared" ca="1" si="277"/>
        <v>8.4129627384402017</v>
      </c>
      <c r="S535" s="6">
        <f t="shared" ca="1" si="277"/>
        <v>8.8485998255216014</v>
      </c>
      <c r="T535" s="6">
        <f t="shared" ca="1" si="277"/>
        <v>9.2918063323853151</v>
      </c>
      <c r="U535" s="6">
        <f t="shared" ca="1" si="277"/>
        <v>9.7447678478668855</v>
      </c>
    </row>
    <row r="536" spans="1:21" x14ac:dyDescent="0.2">
      <c r="A536" s="1" t="str">
        <f ca="1">CONCATENATE("Total Crown interest receipts with ",100*OFFSET(Assumptions!$B$27,0,$C$1),"% of GDP floor for GSID")</f>
        <v>Total Crown interest receipts with 20% of GDP floor for GSID</v>
      </c>
      <c r="D536" s="14">
        <f>D$533*D$528/SUM(D$534,-D$528)</f>
        <v>0</v>
      </c>
      <c r="E536" s="14">
        <f t="shared" ref="E536:U536" si="278">E$533*E$528/SUM(E$534,-E$528)</f>
        <v>0</v>
      </c>
      <c r="F536" s="14">
        <f t="shared" si="278"/>
        <v>0</v>
      </c>
      <c r="G536" s="15">
        <f t="shared" si="278"/>
        <v>0</v>
      </c>
      <c r="H536" s="15">
        <f t="shared" si="278"/>
        <v>0</v>
      </c>
      <c r="I536" s="15">
        <f t="shared" si="278"/>
        <v>0</v>
      </c>
      <c r="J536" s="15">
        <f t="shared" si="278"/>
        <v>0</v>
      </c>
      <c r="K536" s="15">
        <f t="shared" si="278"/>
        <v>0</v>
      </c>
      <c r="L536" s="6">
        <f t="shared" ca="1" si="278"/>
        <v>0</v>
      </c>
      <c r="M536" s="6">
        <f t="shared" ca="1" si="278"/>
        <v>0</v>
      </c>
      <c r="N536" s="6">
        <f t="shared" ca="1" si="278"/>
        <v>0</v>
      </c>
      <c r="O536" s="6">
        <f t="shared" ca="1" si="278"/>
        <v>0</v>
      </c>
      <c r="P536" s="6">
        <f t="shared" ca="1" si="278"/>
        <v>0</v>
      </c>
      <c r="Q536" s="6">
        <f t="shared" ca="1" si="278"/>
        <v>0</v>
      </c>
      <c r="R536" s="6">
        <f t="shared" ca="1" si="278"/>
        <v>0</v>
      </c>
      <c r="S536" s="6">
        <f t="shared" ca="1" si="278"/>
        <v>0</v>
      </c>
      <c r="T536" s="6">
        <f t="shared" ca="1" si="278"/>
        <v>0</v>
      </c>
      <c r="U536" s="6">
        <f t="shared" ca="1" si="278"/>
        <v>0</v>
      </c>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9441" r:id="rId4" name="Drop Down 1">
              <controlPr defaultSize="0" autoLine="0" autoPict="0">
                <anchor moveWithCells="1">
                  <from>
                    <xdr:col>0</xdr:col>
                    <xdr:colOff>47625</xdr:colOff>
                    <xdr:row>6</xdr:row>
                    <xdr:rowOff>0</xdr:rowOff>
                  </from>
                  <to>
                    <xdr:col>0</xdr:col>
                    <xdr:colOff>5629275</xdr:colOff>
                    <xdr:row>7</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36"/>
  <sheetViews>
    <sheetView zoomScaleNormal="100" workbookViewId="0">
      <pane xSplit="2" ySplit="8" topLeftCell="J9" activePane="bottomRight" state="frozen"/>
      <selection pane="topRight" activeCell="C1" sqref="C1"/>
      <selection pane="bottomLeft" activeCell="A9" sqref="A9"/>
      <selection pane="bottomRight" activeCell="V27" sqref="V27"/>
    </sheetView>
  </sheetViews>
  <sheetFormatPr defaultRowHeight="14.25" x14ac:dyDescent="0.2"/>
  <cols>
    <col min="1" max="1" width="85.7109375" style="1" customWidth="1"/>
    <col min="2" max="2" width="25.7109375" style="1" customWidth="1"/>
    <col min="3" max="3" width="7.7109375" style="1" customWidth="1"/>
    <col min="4" max="8" width="10.7109375" style="1" customWidth="1"/>
    <col min="9" max="9" width="9.140625" style="1"/>
    <col min="10" max="10" width="9.140625" style="1" customWidth="1"/>
    <col min="11" max="18" width="9.5703125" style="1" bestFit="1" customWidth="1"/>
    <col min="19" max="20" width="9.7109375" style="1" bestFit="1" customWidth="1"/>
    <col min="21" max="16384" width="9.140625" style="1"/>
  </cols>
  <sheetData>
    <row r="1" spans="1:21" ht="15" x14ac:dyDescent="0.25">
      <c r="A1" s="2" t="s">
        <v>116</v>
      </c>
      <c r="B1" s="5" t="s">
        <v>896</v>
      </c>
      <c r="C1" s="5">
        <f>MATCH($B$1,Assumptions!$C$7:$W$7,0)</f>
        <v>2</v>
      </c>
      <c r="D1" s="4" t="s">
        <v>117</v>
      </c>
      <c r="E1" s="4"/>
    </row>
    <row r="2" spans="1:21" ht="15" x14ac:dyDescent="0.25">
      <c r="A2" s="4" t="s">
        <v>118</v>
      </c>
      <c r="B2" s="4" t="s">
        <v>885</v>
      </c>
      <c r="C2" s="5" t="s">
        <v>815</v>
      </c>
      <c r="F2" s="1" t="s">
        <v>662</v>
      </c>
      <c r="J2" s="6"/>
      <c r="K2" s="6"/>
      <c r="L2" s="6">
        <f ca="1">MAX(OFFSET(Assumptions!$B$8,0,$C$1)+OFFSET(Assumptions!$B$85,0,$C$1)-L$6,0)/(OFFSET(Assumptions!$B$85,0,$C$1)*(OFFSET(Assumptions!$B$85,0,$C$1)+1)/2)</f>
        <v>0.33333333333333331</v>
      </c>
      <c r="M2" s="6">
        <f ca="1">MAX(OFFSET(Assumptions!$B$8,0,$C$1)+OFFSET(Assumptions!$B$85,0,$C$1)-M$6,0)/(OFFSET(Assumptions!$B$85,0,$C$1)*(OFFSET(Assumptions!$B$85,0,$C$1)+1)/2)</f>
        <v>0.26666666666666666</v>
      </c>
      <c r="N2" s="6">
        <f ca="1">MAX(OFFSET(Assumptions!$B$8,0,$C$1)+OFFSET(Assumptions!$B$85,0,$C$1)-N$6,0)/(OFFSET(Assumptions!$B$85,0,$C$1)*(OFFSET(Assumptions!$B$85,0,$C$1)+1)/2)</f>
        <v>0.2</v>
      </c>
      <c r="O2" s="6">
        <f ca="1">MAX(OFFSET(Assumptions!$B$8,0,$C$1)+OFFSET(Assumptions!$B$85,0,$C$1)-O$6,0)/(OFFSET(Assumptions!$B$85,0,$C$1)*(OFFSET(Assumptions!$B$85,0,$C$1)+1)/2)</f>
        <v>0.13333333333333333</v>
      </c>
      <c r="P2" s="6">
        <f ca="1">MAX(OFFSET(Assumptions!$B$8,0,$C$1)+OFFSET(Assumptions!$B$85,0,$C$1)-P$6,0)/(OFFSET(Assumptions!$B$85,0,$C$1)*(OFFSET(Assumptions!$B$85,0,$C$1)+1)/2)</f>
        <v>6.6666666666666666E-2</v>
      </c>
      <c r="Q2" s="6">
        <f ca="1">MAX(OFFSET(Assumptions!$B$8,0,$C$1)+OFFSET(Assumptions!$B$85,0,$C$1)-Q$6,0)/(OFFSET(Assumptions!$B$85,0,$C$1)*(OFFSET(Assumptions!$B$85,0,$C$1)+1)/2)</f>
        <v>0</v>
      </c>
      <c r="R2" s="6">
        <f ca="1">MAX(OFFSET(Assumptions!$B$8,0,$C$1)+OFFSET(Assumptions!$B$85,0,$C$1)-R$6,0)/(OFFSET(Assumptions!$B$85,0,$C$1)*(OFFSET(Assumptions!$B$85,0,$C$1)+1)/2)</f>
        <v>0</v>
      </c>
      <c r="S2" s="6">
        <f ca="1">MAX(OFFSET(Assumptions!$B$8,0,$C$1)+OFFSET(Assumptions!$B$85,0,$C$1)-S$6,0)/(OFFSET(Assumptions!$B$85,0,$C$1)*(OFFSET(Assumptions!$B$85,0,$C$1)+1)/2)</f>
        <v>0</v>
      </c>
      <c r="T2" s="6">
        <f ca="1">MAX(OFFSET(Assumptions!$B$8,0,$C$1)+OFFSET(Assumptions!$B$85,0,$C$1)-T$6,0)/(OFFSET(Assumptions!$B$85,0,$C$1)*(OFFSET(Assumptions!$B$85,0,$C$1)+1)/2)</f>
        <v>0</v>
      </c>
      <c r="U2" s="6">
        <f ca="1">MAX(OFFSET(Assumptions!$B$8,0,$C$1)+OFFSET(Assumptions!$B$85,0,$C$1)-U$6,0)/(OFFSET(Assumptions!$B$85,0,$C$1)*(OFFSET(Assumptions!$B$85,0,$C$1)+1)/2)</f>
        <v>0</v>
      </c>
    </row>
    <row r="3" spans="1:21" ht="15" x14ac:dyDescent="0.25">
      <c r="B3" s="4" t="s">
        <v>886</v>
      </c>
      <c r="C3" s="5" t="s">
        <v>815</v>
      </c>
      <c r="D3" s="30" t="s">
        <v>717</v>
      </c>
      <c r="E3" s="30" t="s">
        <v>717</v>
      </c>
      <c r="F3" s="30" t="s">
        <v>717</v>
      </c>
      <c r="G3" s="32" t="s">
        <v>1311</v>
      </c>
      <c r="H3" s="25"/>
      <c r="I3" s="25"/>
      <c r="K3" s="2"/>
      <c r="L3" s="2" t="s">
        <v>1309</v>
      </c>
    </row>
    <row r="4" spans="1:21" ht="15" x14ac:dyDescent="0.25">
      <c r="D4" s="30" t="s">
        <v>718</v>
      </c>
      <c r="E4" s="30" t="s">
        <v>718</v>
      </c>
      <c r="F4" s="30" t="s">
        <v>718</v>
      </c>
      <c r="G4" s="25" t="s">
        <v>135</v>
      </c>
      <c r="L4" s="1" t="s">
        <v>136</v>
      </c>
    </row>
    <row r="5" spans="1:21" ht="15" x14ac:dyDescent="0.25">
      <c r="A5" s="13" t="s">
        <v>119</v>
      </c>
      <c r="D5" s="29" t="s">
        <v>21</v>
      </c>
      <c r="E5" s="29" t="s">
        <v>23</v>
      </c>
      <c r="F5" s="29" t="s">
        <v>24</v>
      </c>
      <c r="G5" s="31" t="s">
        <v>25</v>
      </c>
      <c r="H5" s="31" t="s">
        <v>26</v>
      </c>
      <c r="I5" s="31" t="s">
        <v>27</v>
      </c>
      <c r="J5" s="31" t="s">
        <v>28</v>
      </c>
      <c r="K5" s="31" t="s">
        <v>29</v>
      </c>
      <c r="L5" s="5" t="s">
        <v>30</v>
      </c>
      <c r="M5" s="5" t="s">
        <v>31</v>
      </c>
      <c r="N5" s="5" t="s">
        <v>32</v>
      </c>
      <c r="O5" s="5" t="s">
        <v>33</v>
      </c>
      <c r="P5" s="5" t="s">
        <v>34</v>
      </c>
      <c r="Q5" s="5" t="s">
        <v>35</v>
      </c>
      <c r="R5" s="5" t="s">
        <v>36</v>
      </c>
      <c r="S5" s="5" t="s">
        <v>37</v>
      </c>
      <c r="T5" s="5" t="s">
        <v>38</v>
      </c>
      <c r="U5" s="5" t="s">
        <v>39</v>
      </c>
    </row>
    <row r="6" spans="1:21" ht="15" x14ac:dyDescent="0.25">
      <c r="A6" s="13" t="s">
        <v>697</v>
      </c>
      <c r="D6" s="30">
        <v>2015</v>
      </c>
      <c r="E6" s="30">
        <v>2016</v>
      </c>
      <c r="F6" s="30">
        <v>2017</v>
      </c>
      <c r="G6" s="32">
        <v>2018</v>
      </c>
      <c r="H6" s="32">
        <v>2019</v>
      </c>
      <c r="I6" s="32">
        <v>2020</v>
      </c>
      <c r="J6" s="32">
        <v>2021</v>
      </c>
      <c r="K6" s="32">
        <v>2022</v>
      </c>
      <c r="L6" s="2">
        <v>2023</v>
      </c>
      <c r="M6" s="2">
        <v>2024</v>
      </c>
      <c r="N6" s="2">
        <v>2025</v>
      </c>
      <c r="O6" s="2">
        <v>2026</v>
      </c>
      <c r="P6" s="2">
        <v>2027</v>
      </c>
      <c r="Q6" s="2">
        <v>2028</v>
      </c>
      <c r="R6" s="2">
        <v>2029</v>
      </c>
      <c r="S6" s="2">
        <v>2030</v>
      </c>
      <c r="T6" s="2">
        <v>2031</v>
      </c>
      <c r="U6" s="2">
        <v>2032</v>
      </c>
    </row>
    <row r="7" spans="1:21" ht="15" x14ac:dyDescent="0.25">
      <c r="A7" s="13"/>
      <c r="D7" s="39">
        <f ca="1">OFFSET(D$1,Display!$C$1-1,0)</f>
        <v>60.631000000000007</v>
      </c>
      <c r="E7" s="39">
        <f ca="1">OFFSET(E$1,Display!$C$1-1,0)</f>
        <v>61.879999999999995</v>
      </c>
      <c r="F7" s="39">
        <f ca="1">OFFSET(F$1,Display!$C$1-1,0)</f>
        <v>59.480000000000004</v>
      </c>
      <c r="G7" s="38">
        <f ca="1">OFFSET(G$1,Display!$C$1-1,0)</f>
        <v>60.408999999999992</v>
      </c>
      <c r="H7" s="38">
        <f ca="1">OFFSET(H$1,Display!$C$1-1,0)</f>
        <v>64.203999999999994</v>
      </c>
      <c r="I7" s="38">
        <f ca="1">OFFSET(I$1,Display!$C$1-1,0)</f>
        <v>65.864999999999995</v>
      </c>
      <c r="J7" s="38">
        <f ca="1">OFFSET(J$1,Display!$C$1-1,0)</f>
        <v>67.606999999999999</v>
      </c>
      <c r="K7" s="38">
        <f ca="1">OFFSET(K$1,Display!$C$1-1,0)</f>
        <v>66.956999999999994</v>
      </c>
      <c r="L7" s="7">
        <f ca="1">OFFSET(L$1,Display!$C$1-1,0)</f>
        <v>66.643535945698233</v>
      </c>
      <c r="M7" s="7">
        <f ca="1">OFFSET(M$1,Display!$C$1-1,0)</f>
        <v>67.438556454902425</v>
      </c>
      <c r="N7" s="7">
        <f ca="1">OFFSET(N$1,Display!$C$1-1,0)</f>
        <v>69.288114698988124</v>
      </c>
      <c r="O7" s="7">
        <f ca="1">OFFSET(O$1,Display!$C$1-1,0)</f>
        <v>72.217699046041901</v>
      </c>
      <c r="P7" s="7">
        <f ca="1">OFFSET(P$1,Display!$C$1-1,0)</f>
        <v>76.30681841235841</v>
      </c>
      <c r="Q7" s="7">
        <f ca="1">OFFSET(Q$1,Display!$C$1-1,0)</f>
        <v>80.574810464525299</v>
      </c>
      <c r="R7" s="7">
        <f ca="1">OFFSET(R$1,Display!$C$1-1,0)</f>
        <v>85.089401021433162</v>
      </c>
      <c r="S7" s="7">
        <f ca="1">OFFSET(S$1,Display!$C$1-1,0)</f>
        <v>89.675857582057318</v>
      </c>
      <c r="T7" s="7">
        <f ca="1">OFFSET(T$1,Display!$C$1-1,0)</f>
        <v>94.375141021241745</v>
      </c>
      <c r="U7" s="7">
        <f ca="1">OFFSET(U$1,Display!$C$1-1,0)</f>
        <v>99.217845747870115</v>
      </c>
    </row>
    <row r="8" spans="1:21" ht="15" x14ac:dyDescent="0.25">
      <c r="A8" s="13" t="s">
        <v>707</v>
      </c>
      <c r="D8" s="55">
        <f ca="1">D$7/D$13</f>
        <v>0.24745427905590997</v>
      </c>
      <c r="E8" s="55">
        <f t="shared" ref="E8:F8" ca="1" si="0">E$7/E$13</f>
        <v>0.24009063537883726</v>
      </c>
      <c r="F8" s="55">
        <f t="shared" ca="1" si="0"/>
        <v>0.21690613376121362</v>
      </c>
      <c r="G8" s="57">
        <f ca="1">G$7/G$13</f>
        <v>0.20757679884544017</v>
      </c>
      <c r="H8" s="57">
        <f t="shared" ref="H8:K8" ca="1" si="1">H$7/H$13</f>
        <v>0.2107875807230023</v>
      </c>
      <c r="I8" s="57">
        <f t="shared" ca="1" si="1"/>
        <v>0.20584677986442521</v>
      </c>
      <c r="J8" s="57">
        <f t="shared" ca="1" si="1"/>
        <v>0.20198015660804072</v>
      </c>
      <c r="K8" s="57">
        <f t="shared" ca="1" si="1"/>
        <v>0.19141947214344524</v>
      </c>
      <c r="L8" s="56">
        <f ca="1">L$7/L$13</f>
        <v>0.18198854983090856</v>
      </c>
      <c r="M8" s="56">
        <f t="shared" ref="M8:U8" ca="1" si="2">M$7/M$13</f>
        <v>0.17612881479183973</v>
      </c>
      <c r="N8" s="56">
        <f t="shared" ca="1" si="2"/>
        <v>0.17324001134293449</v>
      </c>
      <c r="O8" s="56">
        <f t="shared" ca="1" si="2"/>
        <v>0.17299624685315193</v>
      </c>
      <c r="P8" s="56">
        <f t="shared" ca="1" si="2"/>
        <v>0.17519865471943524</v>
      </c>
      <c r="Q8" s="56">
        <f t="shared" ca="1" si="2"/>
        <v>0.17737609071369431</v>
      </c>
      <c r="R8" s="56">
        <f t="shared" ca="1" si="2"/>
        <v>0.17967814214859132</v>
      </c>
      <c r="S8" s="56">
        <f t="shared" ca="1" si="2"/>
        <v>0.18170664679848769</v>
      </c>
      <c r="T8" s="56">
        <f t="shared" ca="1" si="2"/>
        <v>0.18355897014143446</v>
      </c>
      <c r="U8" s="56">
        <f t="shared" ca="1" si="2"/>
        <v>0.18528411984943813</v>
      </c>
    </row>
    <row r="9" spans="1:21" ht="16.5" x14ac:dyDescent="0.25">
      <c r="A9" s="54" t="s">
        <v>120</v>
      </c>
      <c r="D9" s="2"/>
      <c r="E9" s="2"/>
      <c r="F9" s="2"/>
      <c r="G9" s="2"/>
      <c r="H9" s="2"/>
    </row>
    <row r="10" spans="1:21" ht="15" x14ac:dyDescent="0.25">
      <c r="A10" s="18" t="s">
        <v>276</v>
      </c>
      <c r="D10" s="2"/>
      <c r="E10" s="2"/>
      <c r="F10" s="2"/>
      <c r="G10" s="2"/>
      <c r="H10" s="2"/>
    </row>
    <row r="11" spans="1:21" ht="15" x14ac:dyDescent="0.25">
      <c r="A11" s="2" t="s">
        <v>277</v>
      </c>
      <c r="B11" s="4" t="s">
        <v>121</v>
      </c>
      <c r="D11" s="14">
        <f>'Economic Forecasts'!M$6</f>
        <v>221.56800000000001</v>
      </c>
      <c r="E11" s="14">
        <f>'Economic Forecasts'!N$6</f>
        <v>229.935</v>
      </c>
      <c r="F11" s="14">
        <f>'Economic Forecasts'!O$6</f>
        <v>237.63200000000001</v>
      </c>
      <c r="G11" s="15">
        <f>'Economic Forecasts'!P$6</f>
        <v>244.17400000000001</v>
      </c>
      <c r="H11" s="15">
        <f>'Economic Forecasts'!Q$6</f>
        <v>252.261</v>
      </c>
      <c r="I11" s="15">
        <f>'Economic Forecasts'!R$6</f>
        <v>260.72199999999998</v>
      </c>
      <c r="J11" s="15">
        <f>'Economic Forecasts'!S$6</f>
        <v>267.89</v>
      </c>
      <c r="K11" s="15">
        <f>'Economic Forecasts'!T$6</f>
        <v>274.57</v>
      </c>
      <c r="L11" s="6">
        <f t="shared" ref="L11:U11" ca="1" si="3">K$11*(1+L$26)*L$17*(1-L$24)*L$25/(K$17*(1-K$24)*K$25)</f>
        <v>281.81039366258022</v>
      </c>
      <c r="M11" s="6">
        <f t="shared" ca="1" si="3"/>
        <v>288.88215848674201</v>
      </c>
      <c r="N11" s="6">
        <f t="shared" ca="1" si="3"/>
        <v>295.83750888725513</v>
      </c>
      <c r="O11" s="6">
        <f t="shared" ca="1" si="3"/>
        <v>302.72583788954995</v>
      </c>
      <c r="P11" s="6">
        <f t="shared" ca="1" si="3"/>
        <v>309.6527429299619</v>
      </c>
      <c r="Q11" s="6">
        <f t="shared" ca="1" si="3"/>
        <v>316.62586852709387</v>
      </c>
      <c r="R11" s="6">
        <f t="shared" ca="1" si="3"/>
        <v>323.61021863587126</v>
      </c>
      <c r="S11" s="6">
        <f t="shared" ca="1" si="3"/>
        <v>330.63327701282867</v>
      </c>
      <c r="T11" s="6">
        <f t="shared" ca="1" si="3"/>
        <v>337.69425042179626</v>
      </c>
      <c r="U11" s="6">
        <f t="shared" ca="1" si="3"/>
        <v>344.82050844870423</v>
      </c>
    </row>
    <row r="12" spans="1:21" x14ac:dyDescent="0.2">
      <c r="A12" s="4" t="s">
        <v>122</v>
      </c>
      <c r="B12" s="4"/>
      <c r="D12" s="17"/>
      <c r="E12" s="17">
        <f t="shared" ref="E12:U12" si="4">E$11/D$11-1</f>
        <v>3.7762673310225203E-2</v>
      </c>
      <c r="F12" s="17">
        <f t="shared" si="4"/>
        <v>3.3474677626285754E-2</v>
      </c>
      <c r="G12" s="16">
        <f t="shared" si="4"/>
        <v>2.7529962294640553E-2</v>
      </c>
      <c r="H12" s="16">
        <f t="shared" si="4"/>
        <v>3.3119824387526808E-2</v>
      </c>
      <c r="I12" s="16">
        <f t="shared" si="4"/>
        <v>3.3540658286457248E-2</v>
      </c>
      <c r="J12" s="16">
        <f t="shared" si="4"/>
        <v>2.7492885142028634E-2</v>
      </c>
      <c r="K12" s="16">
        <f t="shared" si="4"/>
        <v>2.4935607898764367E-2</v>
      </c>
      <c r="L12" s="10">
        <f t="shared" ca="1" si="4"/>
        <v>2.6369937220309003E-2</v>
      </c>
      <c r="M12" s="10">
        <f t="shared" ca="1" si="4"/>
        <v>2.5094052537427025E-2</v>
      </c>
      <c r="N12" s="10">
        <f t="shared" ca="1" si="4"/>
        <v>2.4076773854596834E-2</v>
      </c>
      <c r="O12" s="10">
        <f t="shared" ca="1" si="4"/>
        <v>2.3284163756665421E-2</v>
      </c>
      <c r="P12" s="10">
        <f t="shared" ca="1" si="4"/>
        <v>2.2881776754514194E-2</v>
      </c>
      <c r="Q12" s="10">
        <f t="shared" ca="1" si="4"/>
        <v>2.2519179165511716E-2</v>
      </c>
      <c r="R12" s="10">
        <f t="shared" ca="1" si="4"/>
        <v>2.2058684406513374E-2</v>
      </c>
      <c r="S12" s="10">
        <f t="shared" ca="1" si="4"/>
        <v>2.1702214492984817E-2</v>
      </c>
      <c r="T12" s="10">
        <f t="shared" ca="1" si="4"/>
        <v>2.1355906679331627E-2</v>
      </c>
      <c r="U12" s="10">
        <f t="shared" ca="1" si="4"/>
        <v>2.1102692799794376E-2</v>
      </c>
    </row>
    <row r="13" spans="1:21" ht="15" x14ac:dyDescent="0.25">
      <c r="A13" s="2" t="s">
        <v>124</v>
      </c>
      <c r="B13" s="4" t="str">
        <f>$B$11</f>
        <v>From Economic</v>
      </c>
      <c r="D13" s="14">
        <f>'Economic Forecasts'!M$7</f>
        <v>245.01900000000001</v>
      </c>
      <c r="E13" s="14">
        <f>'Economic Forecasts'!N$7</f>
        <v>257.73599999999999</v>
      </c>
      <c r="F13" s="14">
        <f>'Economic Forecasts'!O$7</f>
        <v>274.22000000000003</v>
      </c>
      <c r="G13" s="15">
        <f>'Economic Forecasts'!P$7</f>
        <v>291.02</v>
      </c>
      <c r="H13" s="15">
        <f>'Economic Forecasts'!Q$7</f>
        <v>304.59100000000001</v>
      </c>
      <c r="I13" s="15">
        <f>'Economic Forecasts'!R$7</f>
        <v>319.971</v>
      </c>
      <c r="J13" s="15">
        <f>'Economic Forecasts'!S$7</f>
        <v>334.721</v>
      </c>
      <c r="K13" s="15">
        <f>'Economic Forecasts'!T$7</f>
        <v>349.79199999999997</v>
      </c>
      <c r="L13" s="6">
        <f t="shared" ref="L13:U13" ca="1" si="5">K$13*(1+L$30)*L$11/K$11</f>
        <v>366.19631294176963</v>
      </c>
      <c r="M13" s="6">
        <f t="shared" ca="1" si="5"/>
        <v>382.89337570689736</v>
      </c>
      <c r="N13" s="6">
        <f t="shared" ca="1" si="5"/>
        <v>399.95445718269985</v>
      </c>
      <c r="O13" s="6">
        <f t="shared" ca="1" si="5"/>
        <v>417.45240350412911</v>
      </c>
      <c r="P13" s="6">
        <f t="shared" ca="1" si="5"/>
        <v>435.54454533088091</v>
      </c>
      <c r="Q13" s="6">
        <f t="shared" ca="1" si="5"/>
        <v>454.25970400138334</v>
      </c>
      <c r="R13" s="6">
        <f t="shared" ca="1" si="5"/>
        <v>473.56567695955698</v>
      </c>
      <c r="S13" s="6">
        <f t="shared" ca="1" si="5"/>
        <v>493.51996287459787</v>
      </c>
      <c r="T13" s="6">
        <f t="shared" ca="1" si="5"/>
        <v>514.14071972905776</v>
      </c>
      <c r="U13" s="6">
        <f t="shared" ca="1" si="5"/>
        <v>535.49028286123246</v>
      </c>
    </row>
    <row r="14" spans="1:21" x14ac:dyDescent="0.2">
      <c r="A14" s="4" t="str">
        <f>$A$12</f>
        <v>Annual percentage growth</v>
      </c>
      <c r="D14" s="17"/>
      <c r="E14" s="17">
        <f t="shared" ref="E14:U14" si="6">E$13/D$13-1</f>
        <v>5.1902097388365709E-2</v>
      </c>
      <c r="F14" s="17">
        <f t="shared" si="6"/>
        <v>6.3956917155539195E-2</v>
      </c>
      <c r="G14" s="16">
        <f t="shared" si="6"/>
        <v>6.1264677995769734E-2</v>
      </c>
      <c r="H14" s="16">
        <f t="shared" si="6"/>
        <v>4.6632533846471036E-2</v>
      </c>
      <c r="I14" s="16">
        <f t="shared" si="6"/>
        <v>5.0493941055382408E-2</v>
      </c>
      <c r="J14" s="16">
        <f t="shared" si="6"/>
        <v>4.6097927624690893E-2</v>
      </c>
      <c r="K14" s="16">
        <f t="shared" si="6"/>
        <v>4.5025558599550042E-2</v>
      </c>
      <c r="L14" s="10">
        <f t="shared" ca="1" si="6"/>
        <v>4.6897335964715126E-2</v>
      </c>
      <c r="M14" s="10">
        <f t="shared" ca="1" si="6"/>
        <v>4.5595933588175708E-2</v>
      </c>
      <c r="N14" s="10">
        <f t="shared" ca="1" si="6"/>
        <v>4.4558309331688806E-2</v>
      </c>
      <c r="O14" s="10">
        <f t="shared" ca="1" si="6"/>
        <v>4.3749847031798739E-2</v>
      </c>
      <c r="P14" s="10">
        <f t="shared" ca="1" si="6"/>
        <v>4.3339412289604473E-2</v>
      </c>
      <c r="Q14" s="10">
        <f t="shared" ca="1" si="6"/>
        <v>4.2969562748822021E-2</v>
      </c>
      <c r="R14" s="10">
        <f t="shared" ca="1" si="6"/>
        <v>4.2499858094643628E-2</v>
      </c>
      <c r="S14" s="10">
        <f t="shared" ca="1" si="6"/>
        <v>4.213625878284466E-2</v>
      </c>
      <c r="T14" s="10">
        <f t="shared" ca="1" si="6"/>
        <v>4.1783024812918512E-2</v>
      </c>
      <c r="U14" s="10">
        <f t="shared" ca="1" si="6"/>
        <v>4.1524746655789979E-2</v>
      </c>
    </row>
    <row r="15" spans="1:21" x14ac:dyDescent="0.2">
      <c r="A15" s="4" t="s">
        <v>279</v>
      </c>
      <c r="D15" s="14">
        <f t="shared" ref="D15:U15" si="7">1/D$13</f>
        <v>4.08131614282974E-3</v>
      </c>
      <c r="E15" s="14">
        <f t="shared" si="7"/>
        <v>3.8799391625539315E-3</v>
      </c>
      <c r="F15" s="14">
        <f t="shared" si="7"/>
        <v>3.6467070235577268E-3</v>
      </c>
      <c r="G15" s="15">
        <f t="shared" si="7"/>
        <v>3.4361899525805787E-3</v>
      </c>
      <c r="H15" s="15">
        <f t="shared" si="7"/>
        <v>3.2830910959286384E-3</v>
      </c>
      <c r="I15" s="15">
        <f t="shared" si="7"/>
        <v>3.1252832287926094E-3</v>
      </c>
      <c r="J15" s="15">
        <f t="shared" si="7"/>
        <v>2.9875627761628341E-3</v>
      </c>
      <c r="K15" s="15">
        <f t="shared" si="7"/>
        <v>2.8588418259994511E-3</v>
      </c>
      <c r="L15" s="6">
        <f t="shared" ca="1" si="7"/>
        <v>2.7307757196316012E-3</v>
      </c>
      <c r="M15" s="6">
        <f t="shared" ca="1" si="7"/>
        <v>2.6116931329872215E-3</v>
      </c>
      <c r="N15" s="6">
        <f t="shared" ca="1" si="7"/>
        <v>2.5002846750203822E-3</v>
      </c>
      <c r="O15" s="6">
        <f t="shared" ca="1" si="7"/>
        <v>2.3954826744460433E-3</v>
      </c>
      <c r="P15" s="6">
        <f t="shared" ca="1" si="7"/>
        <v>2.2959764063634528E-3</v>
      </c>
      <c r="Q15" s="6">
        <f t="shared" ca="1" si="7"/>
        <v>2.2013839026253463E-3</v>
      </c>
      <c r="R15" s="6">
        <f t="shared" ca="1" si="7"/>
        <v>2.111639522569118E-3</v>
      </c>
      <c r="S15" s="6">
        <f t="shared" ca="1" si="7"/>
        <v>2.0262604863546269E-3</v>
      </c>
      <c r="T15" s="6">
        <f t="shared" ca="1" si="7"/>
        <v>1.9449928037736065E-3</v>
      </c>
      <c r="U15" s="6">
        <f t="shared" ca="1" si="7"/>
        <v>1.8674475186679365E-3</v>
      </c>
    </row>
    <row r="16" spans="1:21" x14ac:dyDescent="0.2">
      <c r="A16" s="18" t="s">
        <v>278</v>
      </c>
      <c r="D16" s="17"/>
      <c r="E16" s="17"/>
      <c r="F16" s="17"/>
      <c r="G16" s="16"/>
      <c r="H16" s="16"/>
      <c r="I16" s="16"/>
      <c r="J16" s="16"/>
      <c r="K16" s="16"/>
      <c r="L16" s="10"/>
      <c r="M16" s="10"/>
      <c r="N16" s="10"/>
      <c r="O16" s="10"/>
      <c r="P16" s="10"/>
      <c r="Q16" s="10"/>
      <c r="R16" s="10"/>
      <c r="S16" s="10"/>
      <c r="T16" s="10"/>
      <c r="U16" s="10"/>
    </row>
    <row r="17" spans="1:21" ht="15" x14ac:dyDescent="0.25">
      <c r="A17" s="2" t="s">
        <v>281</v>
      </c>
      <c r="B17" s="4" t="str">
        <f>$B$11</f>
        <v>From Economic</v>
      </c>
      <c r="D17" s="14">
        <f>'Economic Forecasts'!M$8</f>
        <v>2.4748000000000001</v>
      </c>
      <c r="E17" s="14">
        <f>'Economic Forecasts'!N$8</f>
        <v>2.5265</v>
      </c>
      <c r="F17" s="14">
        <f>'Economic Forecasts'!O$8</f>
        <v>2.6505000000000001</v>
      </c>
      <c r="G17" s="15">
        <f>'Economic Forecasts'!P$8</f>
        <v>2.7376</v>
      </c>
      <c r="H17" s="15">
        <f>'Economic Forecasts'!Q$8</f>
        <v>2.79</v>
      </c>
      <c r="I17" s="15">
        <f>'Economic Forecasts'!R$8</f>
        <v>2.8365</v>
      </c>
      <c r="J17" s="15">
        <f>'Economic Forecasts'!S$8</f>
        <v>2.8789000000000002</v>
      </c>
      <c r="K17" s="15">
        <f>'Economic Forecasts'!T$8</f>
        <v>2.9175999999999997</v>
      </c>
      <c r="L17" s="6">
        <f ca="1">K$17*(1+K$18+MIN(OFFSET(Assumptions!$B$18,0,$C$1),ABS('Labour Force'!K$7-K$18))*SIGN('Labour Force'!K$7-K$18))</f>
        <v>2.9524438299489377</v>
      </c>
      <c r="M17" s="6">
        <f ca="1">L$17*(1+L$18+MIN(OFFSET(Assumptions!$B$18,0,$C$1),ABS('Labour Force'!L$7-L$18))*SIGN('Labour Force'!L$7-L$18))</f>
        <v>2.98327512127302</v>
      </c>
      <c r="N17" s="6">
        <f ca="1">M$17*(1+M$18+MIN(OFFSET(Assumptions!$B$18,0,$C$1),ABS('Labour Force'!M$7-M$18))*SIGN('Labour Force'!M$7-M$18))</f>
        <v>3.009953459816705</v>
      </c>
      <c r="O17" s="6">
        <f ca="1">N$17*(1+N$18+MIN(OFFSET(Assumptions!$B$18,0,$C$1),ABS('Labour Force'!N$7-N$18))*SIGN('Labour Force'!N$7-N$18))</f>
        <v>3.0345199104187381</v>
      </c>
      <c r="P17" s="6">
        <f ca="1">O$17*(1+O$18+MIN(OFFSET(Assumptions!$B$18,0,$C$1),ABS('Labour Force'!O$7-O$18))*SIGN('Labour Force'!O$7-O$18))</f>
        <v>3.058083859671004</v>
      </c>
      <c r="Q17" s="6">
        <f ca="1">P$17*(1+P$18+MIN(OFFSET(Assumptions!$B$18,0,$C$1),ABS('Labour Force'!P$7-P$18))*SIGN('Labour Force'!P$7-P$18))</f>
        <v>3.0807383231626555</v>
      </c>
      <c r="R17" s="6">
        <f ca="1">Q$17*(1+Q$18+MIN(OFFSET(Assumptions!$B$18,0,$C$1),ABS('Labour Force'!Q$7-Q$18))*SIGN('Labour Force'!Q$7-Q$18))</f>
        <v>3.1021629138643867</v>
      </c>
      <c r="S17" s="6">
        <f ca="1">R$17*(1+R$18+MIN(OFFSET(Assumptions!$B$18,0,$C$1),ABS('Labour Force'!R$7-R$18))*SIGN('Labour Force'!R$7-R$18))</f>
        <v>3.1226470136091189</v>
      </c>
      <c r="T17" s="6">
        <f ca="1">S$17*(1+S$18+MIN(OFFSET(Assumptions!$B$18,0,$C$1),ABS('Labour Force'!S$7-S$18))*SIGN('Labour Force'!S$7-S$18))</f>
        <v>3.1422009574623146</v>
      </c>
      <c r="U17" s="6">
        <f ca="1">T$17*(1+T$18+MIN(OFFSET(Assumptions!$B$18,0,$C$1),ABS('Labour Force'!T$7-T$18))*SIGN('Labour Force'!T$7-T$18))</f>
        <v>3.1610934571259728</v>
      </c>
    </row>
    <row r="18" spans="1:21" x14ac:dyDescent="0.2">
      <c r="A18" s="4" t="str">
        <f>$A$12</f>
        <v>Annual percentage growth</v>
      </c>
      <c r="D18" s="17"/>
      <c r="E18" s="17">
        <f t="shared" ref="E18:U18" si="8">E$17/D$17-1</f>
        <v>2.0890577016324574E-2</v>
      </c>
      <c r="F18" s="17">
        <f t="shared" si="8"/>
        <v>4.9079754601226933E-2</v>
      </c>
      <c r="G18" s="16">
        <f t="shared" si="8"/>
        <v>3.2861724202980502E-2</v>
      </c>
      <c r="H18" s="16">
        <f t="shared" si="8"/>
        <v>1.9140853302162419E-2</v>
      </c>
      <c r="I18" s="16">
        <f t="shared" si="8"/>
        <v>1.6666666666666607E-2</v>
      </c>
      <c r="J18" s="16">
        <f t="shared" si="8"/>
        <v>1.4947999294905756E-2</v>
      </c>
      <c r="K18" s="16">
        <f t="shared" si="8"/>
        <v>1.3442634339504433E-2</v>
      </c>
      <c r="L18" s="10">
        <f t="shared" ca="1" si="8"/>
        <v>1.1942634339504377E-2</v>
      </c>
      <c r="M18" s="10">
        <f t="shared" ca="1" si="8"/>
        <v>1.044263433950432E-2</v>
      </c>
      <c r="N18" s="10">
        <f t="shared" ca="1" si="8"/>
        <v>8.9426343395042629E-3</v>
      </c>
      <c r="O18" s="10">
        <f t="shared" ca="1" si="8"/>
        <v>8.1617376912961337E-3</v>
      </c>
      <c r="P18" s="10">
        <f t="shared" ca="1" si="8"/>
        <v>7.7652972950881249E-3</v>
      </c>
      <c r="Q18" s="10">
        <f t="shared" ca="1" si="8"/>
        <v>7.4080582911446591E-3</v>
      </c>
      <c r="R18" s="10">
        <f t="shared" ca="1" si="8"/>
        <v>6.9543688734123865E-3</v>
      </c>
      <c r="S18" s="10">
        <f t="shared" ca="1" si="8"/>
        <v>6.6031669881627675E-3</v>
      </c>
      <c r="T18" s="10">
        <f t="shared" ca="1" si="8"/>
        <v>6.2619770239722428E-3</v>
      </c>
      <c r="U18" s="10">
        <f t="shared" ca="1" si="8"/>
        <v>6.0125052214725638E-3</v>
      </c>
    </row>
    <row r="19" spans="1:21" ht="15" x14ac:dyDescent="0.25">
      <c r="A19" s="2" t="s">
        <v>282</v>
      </c>
      <c r="B19" s="4" t="str">
        <f>$B$11</f>
        <v>From Economic</v>
      </c>
      <c r="D19" s="14">
        <f>'Economic Forecasts'!M$9</f>
        <v>3.5855999999999999</v>
      </c>
      <c r="E19" s="14">
        <f>'Economic Forecasts'!N$9</f>
        <v>3.6730999999999998</v>
      </c>
      <c r="F19" s="14">
        <f>'Economic Forecasts'!O$9</f>
        <v>3.7694000000000001</v>
      </c>
      <c r="G19" s="15">
        <f>'Economic Forecasts'!P$9</f>
        <v>3.8553999999999999</v>
      </c>
      <c r="H19" s="15">
        <f>'Economic Forecasts'!Q$9</f>
        <v>3.9365000000000001</v>
      </c>
      <c r="I19" s="15">
        <f>'Economic Forecasts'!R$9</f>
        <v>4.0042999999999997</v>
      </c>
      <c r="J19" s="15">
        <f>'Economic Forecasts'!S$9</f>
        <v>4.0639000000000003</v>
      </c>
      <c r="K19" s="15">
        <f>'Economic Forecasts'!T$9</f>
        <v>4.1183999999999994</v>
      </c>
      <c r="L19" s="6">
        <f>K$19*(1+Population!S$207)</f>
        <v>4.1645395487283068</v>
      </c>
      <c r="M19" s="6">
        <f>L$19*(1+Population!T$207)</f>
        <v>4.2100820793579086</v>
      </c>
      <c r="N19" s="6">
        <f>M$19*(1+Population!U$207)</f>
        <v>4.2562614292927963</v>
      </c>
      <c r="O19" s="6">
        <f>N$19*(1+Population!V$207)</f>
        <v>4.3007790788529521</v>
      </c>
      <c r="P19" s="6">
        <f>O$19*(1+Population!W$207)</f>
        <v>4.3436051771334423</v>
      </c>
      <c r="Q19" s="6">
        <f>P$19*(1+Population!X$207)</f>
        <v>4.3851874877082953</v>
      </c>
      <c r="R19" s="6">
        <f>Q$19*(1+Population!Y$207)</f>
        <v>4.4243717755866809</v>
      </c>
      <c r="S19" s="6">
        <f>R$19*(1+Population!Z$207)</f>
        <v>4.4625212320939767</v>
      </c>
      <c r="T19" s="6">
        <f>S$19*(1+Population!AA$207)</f>
        <v>4.4998050123581486</v>
      </c>
      <c r="U19" s="6">
        <f>T$19*(1+Population!AB$207)</f>
        <v>4.5370191405108056</v>
      </c>
    </row>
    <row r="20" spans="1:21" x14ac:dyDescent="0.2">
      <c r="A20" s="4" t="str">
        <f>$A$12</f>
        <v>Annual percentage growth</v>
      </c>
      <c r="D20" s="17"/>
      <c r="E20" s="17">
        <f t="shared" ref="E20:U20" si="9">E$19/D$19-1</f>
        <v>2.440316822846933E-2</v>
      </c>
      <c r="F20" s="17">
        <f t="shared" si="9"/>
        <v>2.6217636328986549E-2</v>
      </c>
      <c r="G20" s="16">
        <f t="shared" si="9"/>
        <v>2.2815302170106522E-2</v>
      </c>
      <c r="H20" s="16">
        <f t="shared" si="9"/>
        <v>2.1035430824298373E-2</v>
      </c>
      <c r="I20" s="16">
        <f t="shared" si="9"/>
        <v>1.7223421821414897E-2</v>
      </c>
      <c r="J20" s="16">
        <f t="shared" si="9"/>
        <v>1.4883999700322281E-2</v>
      </c>
      <c r="K20" s="16">
        <f t="shared" si="9"/>
        <v>1.341076306011435E-2</v>
      </c>
      <c r="L20" s="10">
        <f t="shared" si="9"/>
        <v>1.1203270378862484E-2</v>
      </c>
      <c r="M20" s="10">
        <f t="shared" si="9"/>
        <v>1.0935790162806436E-2</v>
      </c>
      <c r="N20" s="10">
        <f t="shared" si="9"/>
        <v>1.096875288044985E-2</v>
      </c>
      <c r="O20" s="10">
        <f t="shared" si="9"/>
        <v>1.0459331575305209E-2</v>
      </c>
      <c r="P20" s="10">
        <f t="shared" si="9"/>
        <v>9.9577535826165242E-3</v>
      </c>
      <c r="Q20" s="10">
        <f t="shared" si="9"/>
        <v>9.5732252078895019E-3</v>
      </c>
      <c r="R20" s="10">
        <f t="shared" si="9"/>
        <v>8.9356014966792685E-3</v>
      </c>
      <c r="S20" s="10">
        <f t="shared" si="9"/>
        <v>8.6225702636024693E-3</v>
      </c>
      <c r="T20" s="10">
        <f t="shared" si="9"/>
        <v>8.3548689911054907E-3</v>
      </c>
      <c r="U20" s="10">
        <f t="shared" si="9"/>
        <v>8.270164607233621E-3</v>
      </c>
    </row>
    <row r="21" spans="1:21" ht="15" x14ac:dyDescent="0.25">
      <c r="A21" s="2" t="s">
        <v>283</v>
      </c>
      <c r="D21" s="17">
        <f t="shared" ref="D21:U21" si="10">D$17/D$19</f>
        <v>0.69020526550647032</v>
      </c>
      <c r="E21" s="17">
        <f t="shared" si="10"/>
        <v>0.68783861043804961</v>
      </c>
      <c r="F21" s="17">
        <f t="shared" si="10"/>
        <v>0.70316230699846127</v>
      </c>
      <c r="G21" s="16">
        <f t="shared" si="10"/>
        <v>0.7100689941380921</v>
      </c>
      <c r="H21" s="16">
        <f t="shared" si="10"/>
        <v>0.70875142893433252</v>
      </c>
      <c r="I21" s="16">
        <f t="shared" si="10"/>
        <v>0.7083635092275804</v>
      </c>
      <c r="J21" s="16">
        <f t="shared" si="10"/>
        <v>0.70840817933512146</v>
      </c>
      <c r="K21" s="16">
        <f t="shared" si="10"/>
        <v>0.70843045843045849</v>
      </c>
      <c r="L21" s="10">
        <f t="shared" ca="1" si="10"/>
        <v>0.70894844325599038</v>
      </c>
      <c r="M21" s="10">
        <f t="shared" ca="1" si="10"/>
        <v>0.70860260323665891</v>
      </c>
      <c r="N21" s="10">
        <f t="shared" ca="1" si="10"/>
        <v>0.70718246748222591</v>
      </c>
      <c r="O21" s="10">
        <f t="shared" ca="1" si="10"/>
        <v>0.70557446797013013</v>
      </c>
      <c r="P21" s="10">
        <f t="shared" ca="1" si="10"/>
        <v>0.70404277897310719</v>
      </c>
      <c r="Q21" s="10">
        <f t="shared" ca="1" si="10"/>
        <v>0.70253286360001299</v>
      </c>
      <c r="R21" s="10">
        <f t="shared" ca="1" si="10"/>
        <v>0.70115330971548684</v>
      </c>
      <c r="S21" s="10">
        <f t="shared" ca="1" si="10"/>
        <v>0.69974950284860826</v>
      </c>
      <c r="T21" s="10">
        <f t="shared" ca="1" si="10"/>
        <v>0.69829713706097374</v>
      </c>
      <c r="U21" s="10">
        <f t="shared" ca="1" si="10"/>
        <v>0.6967335510888053</v>
      </c>
    </row>
    <row r="22" spans="1:21" ht="15" x14ac:dyDescent="0.25">
      <c r="A22" s="2" t="s">
        <v>102</v>
      </c>
      <c r="B22" s="4" t="str">
        <f>$B$11</f>
        <v>From Economic</v>
      </c>
      <c r="D22" s="14">
        <f>'Economic Forecasts'!M$10</f>
        <v>4.5655000000000001</v>
      </c>
      <c r="E22" s="14">
        <f>'Economic Forecasts'!N$10</f>
        <v>4.6593</v>
      </c>
      <c r="F22" s="14">
        <f>'Economic Forecasts'!O$10</f>
        <v>4.7593999999999994</v>
      </c>
      <c r="G22" s="15">
        <f>'Economic Forecasts'!P$10</f>
        <v>4.8548999999999998</v>
      </c>
      <c r="H22" s="15">
        <f>'Economic Forecasts'!Q$10</f>
        <v>4.9488000000000003</v>
      </c>
      <c r="I22" s="15">
        <f>'Economic Forecasts'!R$10</f>
        <v>5.0283999999999995</v>
      </c>
      <c r="J22" s="15">
        <f>'Economic Forecasts'!S$10</f>
        <v>5.0968</v>
      </c>
      <c r="K22" s="15">
        <f>'Economic Forecasts'!T$10</f>
        <v>5.1581000000000001</v>
      </c>
      <c r="L22" s="6">
        <f>K$22*(1+Population!S$7)</f>
        <v>5.2066646611126437</v>
      </c>
      <c r="M22" s="6">
        <f>L$22*(1+Population!T$7)</f>
        <v>5.2547447860096552</v>
      </c>
      <c r="N22" s="6">
        <f>M$22*(1+Population!U$7)</f>
        <v>5.3024110362224812</v>
      </c>
      <c r="O22" s="6">
        <f>N$22*(1+Population!V$7)</f>
        <v>5.3494211436433048</v>
      </c>
      <c r="P22" s="6">
        <f>O$22*(1+Population!W$7)</f>
        <v>5.3955025566508343</v>
      </c>
      <c r="Q22" s="6">
        <f>P$22*(1+Population!X$7)</f>
        <v>5.4406956532630373</v>
      </c>
      <c r="R22" s="6">
        <f>Q$22*(1+Population!Y$7)</f>
        <v>5.4846875038406528</v>
      </c>
      <c r="S22" s="6">
        <f>R$22*(1+Population!Z$7)</f>
        <v>5.5273872578432472</v>
      </c>
      <c r="T22" s="6">
        <f>S$22*(1+Population!AA$7)</f>
        <v>5.5689362383337153</v>
      </c>
      <c r="U22" s="6">
        <f>T$22*(1+Population!AB$7)</f>
        <v>5.6089710431503335</v>
      </c>
    </row>
    <row r="23" spans="1:21" x14ac:dyDescent="0.2">
      <c r="A23" s="4" t="str">
        <f>$A$12</f>
        <v>Annual percentage growth</v>
      </c>
      <c r="D23" s="17"/>
      <c r="E23" s="17">
        <f t="shared" ref="E23:U23" si="11">E$22/D$22-1</f>
        <v>2.0545394808892725E-2</v>
      </c>
      <c r="F23" s="17">
        <f t="shared" si="11"/>
        <v>2.1483913892644591E-2</v>
      </c>
      <c r="G23" s="16">
        <f t="shared" si="11"/>
        <v>2.0065554481657477E-2</v>
      </c>
      <c r="H23" s="16">
        <f t="shared" si="11"/>
        <v>1.9341284063523645E-2</v>
      </c>
      <c r="I23" s="16">
        <f t="shared" si="11"/>
        <v>1.6084707403814846E-2</v>
      </c>
      <c r="J23" s="16">
        <f t="shared" si="11"/>
        <v>1.3602736456924669E-2</v>
      </c>
      <c r="K23" s="16">
        <f t="shared" si="11"/>
        <v>1.2027154292889586E-2</v>
      </c>
      <c r="L23" s="10">
        <f t="shared" si="11"/>
        <v>9.4152228752144573E-3</v>
      </c>
      <c r="M23" s="10">
        <f t="shared" si="11"/>
        <v>9.2343425256691258E-3</v>
      </c>
      <c r="N23" s="10">
        <f t="shared" si="11"/>
        <v>9.0710875892077159E-3</v>
      </c>
      <c r="O23" s="10">
        <f t="shared" si="11"/>
        <v>8.8657984263540435E-3</v>
      </c>
      <c r="P23" s="10">
        <f t="shared" si="11"/>
        <v>8.6142802688637943E-3</v>
      </c>
      <c r="Q23" s="10">
        <f t="shared" si="11"/>
        <v>8.3760680562545708E-3</v>
      </c>
      <c r="R23" s="10">
        <f t="shared" si="11"/>
        <v>8.0857032595145206E-3</v>
      </c>
      <c r="S23" s="10">
        <f t="shared" si="11"/>
        <v>7.7852665211453065E-3</v>
      </c>
      <c r="T23" s="10">
        <f t="shared" si="11"/>
        <v>7.516929527872529E-3</v>
      </c>
      <c r="U23" s="10">
        <f t="shared" si="11"/>
        <v>7.188950116009396E-3</v>
      </c>
    </row>
    <row r="24" spans="1:21" ht="15" x14ac:dyDescent="0.25">
      <c r="A24" s="2" t="s">
        <v>108</v>
      </c>
      <c r="B24" s="4" t="str">
        <f>$B$11</f>
        <v>From Economic</v>
      </c>
      <c r="D24" s="17">
        <f>'Economic Forecasts'!M$11</f>
        <v>5.4000000000000006E-2</v>
      </c>
      <c r="E24" s="17">
        <f>'Economic Forecasts'!N$11</f>
        <v>5.2000000000000005E-2</v>
      </c>
      <c r="F24" s="17">
        <f>'Economic Forecasts'!O$11</f>
        <v>4.9800000000000004E-2</v>
      </c>
      <c r="G24" s="16">
        <f>'Economic Forecasts'!P$11</f>
        <v>4.5400000000000003E-2</v>
      </c>
      <c r="H24" s="16">
        <f>'Economic Forecasts'!Q$11</f>
        <v>4.3499999999999997E-2</v>
      </c>
      <c r="I24" s="16">
        <f>'Economic Forecasts'!R$11</f>
        <v>4.1100000000000005E-2</v>
      </c>
      <c r="J24" s="16">
        <f>'Economic Forecasts'!S$11</f>
        <v>4.0999999999999995E-2</v>
      </c>
      <c r="K24" s="16">
        <f>'Economic Forecasts'!T$11</f>
        <v>4.1599999999999998E-2</v>
      </c>
      <c r="L24" s="10">
        <f ca="1">SUM(K$24,MIN(OFFSET(Assumptions!$B$19,0,$C$1),ABS(OFFSET(Assumptions!$B$12,0,$C$1)-K$24))*SIGN(OFFSET(Assumptions!$B$12,0,$C$1)-K$24))</f>
        <v>4.2500000000000003E-2</v>
      </c>
      <c r="M24" s="10">
        <f ca="1">SUM(L$24,MIN(OFFSET(Assumptions!$B$19,0,$C$1),ABS(OFFSET(Assumptions!$B$12,0,$C$1)-L$24))*SIGN(OFFSET(Assumptions!$B$12,0,$C$1)-L$24))</f>
        <v>4.2500000000000003E-2</v>
      </c>
      <c r="N24" s="10">
        <f ca="1">SUM(M$24,MIN(OFFSET(Assumptions!$B$19,0,$C$1),ABS(OFFSET(Assumptions!$B$12,0,$C$1)-M$24))*SIGN(OFFSET(Assumptions!$B$12,0,$C$1)-M$24))</f>
        <v>4.2500000000000003E-2</v>
      </c>
      <c r="O24" s="10">
        <f ca="1">SUM(N$24,MIN(OFFSET(Assumptions!$B$19,0,$C$1),ABS(OFFSET(Assumptions!$B$12,0,$C$1)-N$24))*SIGN(OFFSET(Assumptions!$B$12,0,$C$1)-N$24))</f>
        <v>4.2500000000000003E-2</v>
      </c>
      <c r="P24" s="10">
        <f ca="1">SUM(O$24,MIN(OFFSET(Assumptions!$B$19,0,$C$1),ABS(OFFSET(Assumptions!$B$12,0,$C$1)-O$24))*SIGN(OFFSET(Assumptions!$B$12,0,$C$1)-O$24))</f>
        <v>4.2500000000000003E-2</v>
      </c>
      <c r="Q24" s="10">
        <f ca="1">SUM(P$24,MIN(OFFSET(Assumptions!$B$19,0,$C$1),ABS(OFFSET(Assumptions!$B$12,0,$C$1)-P$24))*SIGN(OFFSET(Assumptions!$B$12,0,$C$1)-P$24))</f>
        <v>4.2500000000000003E-2</v>
      </c>
      <c r="R24" s="10">
        <f ca="1">SUM(Q$24,MIN(OFFSET(Assumptions!$B$19,0,$C$1),ABS(OFFSET(Assumptions!$B$12,0,$C$1)-Q$24))*SIGN(OFFSET(Assumptions!$B$12,0,$C$1)-Q$24))</f>
        <v>4.2500000000000003E-2</v>
      </c>
      <c r="S24" s="10">
        <f ca="1">SUM(R$24,MIN(OFFSET(Assumptions!$B$19,0,$C$1),ABS(OFFSET(Assumptions!$B$12,0,$C$1)-R$24))*SIGN(OFFSET(Assumptions!$B$12,0,$C$1)-R$24))</f>
        <v>4.2500000000000003E-2</v>
      </c>
      <c r="T24" s="10">
        <f ca="1">SUM(S$24,MIN(OFFSET(Assumptions!$B$19,0,$C$1),ABS(OFFSET(Assumptions!$B$12,0,$C$1)-S$24))*SIGN(OFFSET(Assumptions!$B$12,0,$C$1)-S$24))</f>
        <v>4.2500000000000003E-2</v>
      </c>
      <c r="U24" s="10">
        <f ca="1">SUM(T$24,MIN(OFFSET(Assumptions!$B$19,0,$C$1),ABS(OFFSET(Assumptions!$B$12,0,$C$1)-T$24))*SIGN(OFFSET(Assumptions!$B$12,0,$C$1)-T$24))</f>
        <v>4.2500000000000003E-2</v>
      </c>
    </row>
    <row r="25" spans="1:21" ht="15" x14ac:dyDescent="0.25">
      <c r="A25" s="2" t="s">
        <v>109</v>
      </c>
      <c r="B25" s="4" t="str">
        <f>$B$11</f>
        <v>From Economic</v>
      </c>
      <c r="D25" s="20">
        <f>'Economic Forecasts'!M$12</f>
        <v>33.49</v>
      </c>
      <c r="E25" s="20">
        <f>'Economic Forecasts'!N$12</f>
        <v>33.71</v>
      </c>
      <c r="F25" s="20">
        <f>'Economic Forecasts'!O$12</f>
        <v>33.67</v>
      </c>
      <c r="G25" s="21">
        <f>'Economic Forecasts'!P$12</f>
        <v>33.630000000000003</v>
      </c>
      <c r="H25" s="21">
        <f>'Economic Forecasts'!Q$12</f>
        <v>33.619999999999997</v>
      </c>
      <c r="I25" s="21">
        <f>'Economic Forecasts'!R$12</f>
        <v>33.61</v>
      </c>
      <c r="J25" s="21">
        <f>'Economic Forecasts'!S$12</f>
        <v>33.56</v>
      </c>
      <c r="K25" s="21">
        <f>'Economic Forecasts'!T$12</f>
        <v>33.51</v>
      </c>
      <c r="L25" s="9">
        <f ca="1">SUM(K$25,MIN(OFFSET(Assumptions!$B$20,0,$C$1),ABS(OFFSET(Assumptions!$B$13,0,$C$1)-K$25))*SIGN(OFFSET(Assumptions!$B$13,0,$C$1)-K$25))</f>
        <v>33.549999999999997</v>
      </c>
      <c r="M25" s="9">
        <f ca="1">SUM(L$25,MIN(OFFSET(Assumptions!$B$20,0,$C$1),ABS(OFFSET(Assumptions!$B$13,0,$C$1)-L$25))*SIGN(OFFSET(Assumptions!$B$13,0,$C$1)-L$25))</f>
        <v>33.549999999999997</v>
      </c>
      <c r="N25" s="9">
        <f ca="1">SUM(M$25,MIN(OFFSET(Assumptions!$B$20,0,$C$1),ABS(OFFSET(Assumptions!$B$13,0,$C$1)-M$25))*SIGN(OFFSET(Assumptions!$B$13,0,$C$1)-M$25))</f>
        <v>33.549999999999997</v>
      </c>
      <c r="O25" s="9">
        <f ca="1">SUM(N$25,MIN(OFFSET(Assumptions!$B$20,0,$C$1),ABS(OFFSET(Assumptions!$B$13,0,$C$1)-N$25))*SIGN(OFFSET(Assumptions!$B$13,0,$C$1)-N$25))</f>
        <v>33.549999999999997</v>
      </c>
      <c r="P25" s="9">
        <f ca="1">SUM(O$25,MIN(OFFSET(Assumptions!$B$20,0,$C$1),ABS(OFFSET(Assumptions!$B$13,0,$C$1)-O$25))*SIGN(OFFSET(Assumptions!$B$13,0,$C$1)-O$25))</f>
        <v>33.549999999999997</v>
      </c>
      <c r="Q25" s="9">
        <f ca="1">SUM(P$25,MIN(OFFSET(Assumptions!$B$20,0,$C$1),ABS(OFFSET(Assumptions!$B$13,0,$C$1)-P$25))*SIGN(OFFSET(Assumptions!$B$13,0,$C$1)-P$25))</f>
        <v>33.549999999999997</v>
      </c>
      <c r="R25" s="9">
        <f ca="1">SUM(Q$25,MIN(OFFSET(Assumptions!$B$20,0,$C$1),ABS(OFFSET(Assumptions!$B$13,0,$C$1)-Q$25))*SIGN(OFFSET(Assumptions!$B$13,0,$C$1)-Q$25))</f>
        <v>33.549999999999997</v>
      </c>
      <c r="S25" s="9">
        <f ca="1">SUM(R$25,MIN(OFFSET(Assumptions!$B$20,0,$C$1),ABS(OFFSET(Assumptions!$B$13,0,$C$1)-R$25))*SIGN(OFFSET(Assumptions!$B$13,0,$C$1)-R$25))</f>
        <v>33.549999999999997</v>
      </c>
      <c r="T25" s="9">
        <f ca="1">SUM(S$25,MIN(OFFSET(Assumptions!$B$20,0,$C$1),ABS(OFFSET(Assumptions!$B$13,0,$C$1)-S$25))*SIGN(OFFSET(Assumptions!$B$13,0,$C$1)-S$25))</f>
        <v>33.549999999999997</v>
      </c>
      <c r="U25" s="9">
        <f ca="1">SUM(T$25,MIN(OFFSET(Assumptions!$B$20,0,$C$1),ABS(OFFSET(Assumptions!$B$13,0,$C$1)-T$25))*SIGN(OFFSET(Assumptions!$B$13,0,$C$1)-T$25))</f>
        <v>33.549999999999997</v>
      </c>
    </row>
    <row r="26" spans="1:21" ht="15" x14ac:dyDescent="0.25">
      <c r="A26" s="2" t="s">
        <v>103</v>
      </c>
      <c r="B26" s="4" t="str">
        <f t="shared" ref="B26:B31" si="12">$B$11</f>
        <v>From Economic</v>
      </c>
      <c r="D26" s="17">
        <f>'Economic Forecasts'!M$13</f>
        <v>1.2E-2</v>
      </c>
      <c r="E26" s="17">
        <f>'Economic Forecasts'!N$13</f>
        <v>7.7000000000000002E-3</v>
      </c>
      <c r="F26" s="17">
        <f>'Economic Forecasts'!O$13</f>
        <v>-1.6E-2</v>
      </c>
      <c r="G26" s="16">
        <f>'Economic Forecasts'!P$13</f>
        <v>-8.8000000000000005E-3</v>
      </c>
      <c r="H26" s="16">
        <f>'Economic Forecasts'!Q$13</f>
        <v>1.21E-2</v>
      </c>
      <c r="I26" s="16">
        <f>'Economic Forecasts'!R$13</f>
        <v>1.44E-2</v>
      </c>
      <c r="J26" s="16">
        <f>'Economic Forecasts'!S$13</f>
        <v>1.3599999999999999E-2</v>
      </c>
      <c r="K26" s="16">
        <f>'Economic Forecasts'!T$13</f>
        <v>1.35E-2</v>
      </c>
      <c r="L26" s="10">
        <f ca="1">SUM(K$26,MIN(OFFSET(Assumptions!$B$21,0,$C$1),ABS(OFFSET(Assumptions!$B$14,0,$C$1)-K$26))*SIGN(OFFSET(Assumptions!$B$14,0,$C$1)-K$26))</f>
        <v>1.4E-2</v>
      </c>
      <c r="M26" s="10">
        <f ca="1">SUM(L$26,MIN(OFFSET(Assumptions!$B$21,0,$C$1),ABS(OFFSET(Assumptions!$B$14,0,$C$1)-L$26))*SIGN(OFFSET(Assumptions!$B$14,0,$C$1)-L$26))</f>
        <v>1.4500000000000001E-2</v>
      </c>
      <c r="N26" s="10">
        <f ca="1">SUM(M$26,MIN(OFFSET(Assumptions!$B$21,0,$C$1),ABS(OFFSET(Assumptions!$B$14,0,$C$1)-M$26))*SIGN(OFFSET(Assumptions!$B$14,0,$C$1)-M$26))</f>
        <v>1.4999999999999999E-2</v>
      </c>
      <c r="O26" s="10">
        <f ca="1">SUM(N$26,MIN(OFFSET(Assumptions!$B$21,0,$C$1),ABS(OFFSET(Assumptions!$B$14,0,$C$1)-N$26))*SIGN(OFFSET(Assumptions!$B$14,0,$C$1)-N$26))</f>
        <v>1.4999999999999999E-2</v>
      </c>
      <c r="P26" s="10">
        <f ca="1">SUM(O$26,MIN(OFFSET(Assumptions!$B$21,0,$C$1),ABS(OFFSET(Assumptions!$B$14,0,$C$1)-O$26))*SIGN(OFFSET(Assumptions!$B$14,0,$C$1)-O$26))</f>
        <v>1.4999999999999999E-2</v>
      </c>
      <c r="Q26" s="10">
        <f ca="1">SUM(P$26,MIN(OFFSET(Assumptions!$B$21,0,$C$1),ABS(OFFSET(Assumptions!$B$14,0,$C$1)-P$26))*SIGN(OFFSET(Assumptions!$B$14,0,$C$1)-P$26))</f>
        <v>1.4999999999999999E-2</v>
      </c>
      <c r="R26" s="10">
        <f ca="1">SUM(Q$26,MIN(OFFSET(Assumptions!$B$21,0,$C$1),ABS(OFFSET(Assumptions!$B$14,0,$C$1)-Q$26))*SIGN(OFFSET(Assumptions!$B$14,0,$C$1)-Q$26))</f>
        <v>1.4999999999999999E-2</v>
      </c>
      <c r="S26" s="10">
        <f ca="1">SUM(R$26,MIN(OFFSET(Assumptions!$B$21,0,$C$1),ABS(OFFSET(Assumptions!$B$14,0,$C$1)-R$26))*SIGN(OFFSET(Assumptions!$B$14,0,$C$1)-R$26))</f>
        <v>1.4999999999999999E-2</v>
      </c>
      <c r="T26" s="10">
        <f ca="1">SUM(S$26,MIN(OFFSET(Assumptions!$B$21,0,$C$1),ABS(OFFSET(Assumptions!$B$14,0,$C$1)-S$26))*SIGN(OFFSET(Assumptions!$B$14,0,$C$1)-S$26))</f>
        <v>1.4999999999999999E-2</v>
      </c>
      <c r="U26" s="10">
        <f ca="1">SUM(T$26,MIN(OFFSET(Assumptions!$B$21,0,$C$1),ABS(OFFSET(Assumptions!$B$14,0,$C$1)-T$26))*SIGN(OFFSET(Assumptions!$B$14,0,$C$1)-T$26))</f>
        <v>1.4999999999999999E-2</v>
      </c>
    </row>
    <row r="27" spans="1:21" ht="15" x14ac:dyDescent="0.25">
      <c r="A27" s="2" t="s">
        <v>105</v>
      </c>
      <c r="B27" s="4" t="str">
        <f t="shared" si="12"/>
        <v>From Economic</v>
      </c>
      <c r="D27" s="17">
        <f>'Economic Forecasts'!M$15</f>
        <v>2.4400000000000002E-2</v>
      </c>
      <c r="E27" s="17">
        <f>'Economic Forecasts'!N$15</f>
        <v>2.2499999999999999E-2</v>
      </c>
      <c r="F27" s="17">
        <f>'Economic Forecasts'!O$15</f>
        <v>1.4999999999999999E-2</v>
      </c>
      <c r="G27" s="16">
        <f>'Economic Forecasts'!P$15</f>
        <v>2.9700000000000001E-2</v>
      </c>
      <c r="H27" s="16">
        <f>'Economic Forecasts'!Q$15</f>
        <v>2.8400000000000002E-2</v>
      </c>
      <c r="I27" s="16">
        <f>'Economic Forecasts'!R$15</f>
        <v>2.9399999999999999E-2</v>
      </c>
      <c r="J27" s="16">
        <f>'Economic Forecasts'!S$15</f>
        <v>3.2500000000000001E-2</v>
      </c>
      <c r="K27" s="16">
        <f>'Economic Forecasts'!T$15</f>
        <v>3.3599999999999998E-2</v>
      </c>
      <c r="L27" s="10">
        <f t="shared" ref="L27:U27" ca="1" si="13">(1+L$26)*(1+L$30)-1</f>
        <v>3.4280000000000088E-2</v>
      </c>
      <c r="M27" s="10">
        <f t="shared" ca="1" si="13"/>
        <v>3.4789999999999877E-2</v>
      </c>
      <c r="N27" s="10">
        <f t="shared" ca="1" si="13"/>
        <v>3.5299999999999887E-2</v>
      </c>
      <c r="O27" s="10">
        <f t="shared" ca="1" si="13"/>
        <v>3.5299999999999887E-2</v>
      </c>
      <c r="P27" s="10">
        <f t="shared" ca="1" si="13"/>
        <v>3.5299999999999887E-2</v>
      </c>
      <c r="Q27" s="10">
        <f t="shared" ca="1" si="13"/>
        <v>3.5299999999999887E-2</v>
      </c>
      <c r="R27" s="10">
        <f t="shared" ca="1" si="13"/>
        <v>3.5299999999999887E-2</v>
      </c>
      <c r="S27" s="10">
        <f t="shared" ca="1" si="13"/>
        <v>3.5299999999999887E-2</v>
      </c>
      <c r="T27" s="10">
        <f t="shared" ca="1" si="13"/>
        <v>3.5299999999999887E-2</v>
      </c>
      <c r="U27" s="10">
        <f t="shared" ca="1" si="13"/>
        <v>3.5299999999999887E-2</v>
      </c>
    </row>
    <row r="28" spans="1:21" x14ac:dyDescent="0.2">
      <c r="A28" s="18" t="s">
        <v>280</v>
      </c>
      <c r="B28" s="4"/>
      <c r="D28" s="17"/>
      <c r="E28" s="17"/>
      <c r="F28" s="17"/>
      <c r="G28" s="16"/>
      <c r="H28" s="16"/>
      <c r="I28" s="16"/>
      <c r="J28" s="16"/>
      <c r="K28" s="16"/>
      <c r="L28" s="10"/>
      <c r="M28" s="10"/>
      <c r="N28" s="10"/>
      <c r="O28" s="10"/>
      <c r="P28" s="10"/>
      <c r="Q28" s="10"/>
      <c r="R28" s="10"/>
      <c r="S28" s="10"/>
      <c r="T28" s="10"/>
      <c r="U28" s="10"/>
    </row>
    <row r="29" spans="1:21" ht="15" x14ac:dyDescent="0.25">
      <c r="A29" s="2" t="s">
        <v>284</v>
      </c>
      <c r="B29" s="4" t="str">
        <f t="shared" si="12"/>
        <v>From Economic</v>
      </c>
      <c r="D29" s="22">
        <f>'Economic Forecasts'!M$14</f>
        <v>979</v>
      </c>
      <c r="E29" s="22">
        <f>'Economic Forecasts'!N$14</f>
        <v>983</v>
      </c>
      <c r="F29" s="22">
        <f>'Economic Forecasts'!O$14</f>
        <v>1000</v>
      </c>
      <c r="G29" s="23">
        <f>'Economic Forecasts'!P$14</f>
        <v>1014</v>
      </c>
      <c r="H29" s="23">
        <f>'Economic Forecasts'!Q$14</f>
        <v>1029</v>
      </c>
      <c r="I29" s="23">
        <f>'Economic Forecasts'!R$14</f>
        <v>1047</v>
      </c>
      <c r="J29" s="23">
        <f>'Economic Forecasts'!S$14</f>
        <v>1068</v>
      </c>
      <c r="K29" s="23">
        <f>'Economic Forecasts'!T$14</f>
        <v>1089</v>
      </c>
      <c r="L29" s="3">
        <f ca="1">K$29*(1+K$30+MIN(OFFSET(Assumptions!$B$22,0,$C$1),ABS(OFFSET(Assumptions!$B$15,0,$C$1)-K$30))*SIGN(OFFSET(Assumptions!$B$15,0,$C$1)-K$30))</f>
        <v>1110.78</v>
      </c>
      <c r="M29" s="3">
        <f ca="1">L$29*(1+L$30+MIN(OFFSET(Assumptions!$B$22,0,$C$1),ABS(OFFSET(Assumptions!$B$15,0,$C$1)-L$30))*SIGN(OFFSET(Assumptions!$B$15,0,$C$1)-L$30))</f>
        <v>1132.9956</v>
      </c>
      <c r="N29" s="3">
        <f ca="1">M$29*(1+M$30+MIN(OFFSET(Assumptions!$B$22,0,$C$1),ABS(OFFSET(Assumptions!$B$15,0,$C$1)-M$30))*SIGN(OFFSET(Assumptions!$B$15,0,$C$1)-M$30))</f>
        <v>1155.655512</v>
      </c>
      <c r="O29" s="3">
        <f ca="1">N$29*(1+N$30+MIN(OFFSET(Assumptions!$B$22,0,$C$1),ABS(OFFSET(Assumptions!$B$15,0,$C$1)-N$30))*SIGN(OFFSET(Assumptions!$B$15,0,$C$1)-N$30))</f>
        <v>1178.76862224</v>
      </c>
      <c r="P29" s="3">
        <f ca="1">O$29*(1+O$30+MIN(OFFSET(Assumptions!$B$22,0,$C$1),ABS(OFFSET(Assumptions!$B$15,0,$C$1)-O$30))*SIGN(OFFSET(Assumptions!$B$15,0,$C$1)-O$30))</f>
        <v>1202.3439946848</v>
      </c>
      <c r="Q29" s="3">
        <f ca="1">P$29*(1+P$30+MIN(OFFSET(Assumptions!$B$22,0,$C$1),ABS(OFFSET(Assumptions!$B$15,0,$C$1)-P$30))*SIGN(OFFSET(Assumptions!$B$15,0,$C$1)-P$30))</f>
        <v>1226.3908745784961</v>
      </c>
      <c r="R29" s="3">
        <f ca="1">Q$29*(1+Q$30+MIN(OFFSET(Assumptions!$B$22,0,$C$1),ABS(OFFSET(Assumptions!$B$15,0,$C$1)-Q$30))*SIGN(OFFSET(Assumptions!$B$15,0,$C$1)-Q$30))</f>
        <v>1250.9186920700661</v>
      </c>
      <c r="S29" s="3">
        <f ca="1">R$29*(1+R$30+MIN(OFFSET(Assumptions!$B$22,0,$C$1),ABS(OFFSET(Assumptions!$B$15,0,$C$1)-R$30))*SIGN(OFFSET(Assumptions!$B$15,0,$C$1)-R$30))</f>
        <v>1275.9370659114675</v>
      </c>
      <c r="T29" s="3">
        <f ca="1">S$29*(1+S$30+MIN(OFFSET(Assumptions!$B$22,0,$C$1),ABS(OFFSET(Assumptions!$B$15,0,$C$1)-S$30))*SIGN(OFFSET(Assumptions!$B$15,0,$C$1)-S$30))</f>
        <v>1301.4558072296968</v>
      </c>
      <c r="U29" s="3">
        <f ca="1">T$29*(1+T$30+MIN(OFFSET(Assumptions!$B$22,0,$C$1),ABS(OFFSET(Assumptions!$B$15,0,$C$1)-T$30))*SIGN(OFFSET(Assumptions!$B$15,0,$C$1)-T$30))</f>
        <v>1327.4849233742907</v>
      </c>
    </row>
    <row r="30" spans="1:21" x14ac:dyDescent="0.2">
      <c r="A30" s="4" t="str">
        <f>$A$12</f>
        <v>Annual percentage growth</v>
      </c>
      <c r="D30" s="17"/>
      <c r="E30" s="17">
        <f t="shared" ref="E30:U30" si="14">E$29/D$29-1</f>
        <v>4.0858018386107364E-3</v>
      </c>
      <c r="F30" s="17">
        <f t="shared" si="14"/>
        <v>1.7293997965412089E-2</v>
      </c>
      <c r="G30" s="16">
        <f t="shared" si="14"/>
        <v>1.4000000000000012E-2</v>
      </c>
      <c r="H30" s="16">
        <f t="shared" si="14"/>
        <v>1.4792899408283988E-2</v>
      </c>
      <c r="I30" s="16">
        <f t="shared" si="14"/>
        <v>1.7492711370262315E-2</v>
      </c>
      <c r="J30" s="16">
        <f t="shared" si="14"/>
        <v>2.005730659025784E-2</v>
      </c>
      <c r="K30" s="16">
        <f t="shared" si="14"/>
        <v>1.9662921348314599E-2</v>
      </c>
      <c r="L30" s="10">
        <f t="shared" ca="1" si="14"/>
        <v>2.0000000000000018E-2</v>
      </c>
      <c r="M30" s="10">
        <f t="shared" ca="1" si="14"/>
        <v>2.0000000000000018E-2</v>
      </c>
      <c r="N30" s="10">
        <f t="shared" ca="1" si="14"/>
        <v>2.0000000000000018E-2</v>
      </c>
      <c r="O30" s="10">
        <f t="shared" ca="1" si="14"/>
        <v>2.0000000000000018E-2</v>
      </c>
      <c r="P30" s="10">
        <f t="shared" ca="1" si="14"/>
        <v>2.0000000000000018E-2</v>
      </c>
      <c r="Q30" s="10">
        <f t="shared" ca="1" si="14"/>
        <v>2.0000000000000018E-2</v>
      </c>
      <c r="R30" s="10">
        <f t="shared" ca="1" si="14"/>
        <v>2.0000000000000018E-2</v>
      </c>
      <c r="S30" s="10">
        <f t="shared" ca="1" si="14"/>
        <v>2.0000000000000018E-2</v>
      </c>
      <c r="T30" s="10">
        <f t="shared" ca="1" si="14"/>
        <v>2.0000000000000018E-2</v>
      </c>
      <c r="U30" s="10">
        <f t="shared" ca="1" si="14"/>
        <v>2.0000000000000018E-2</v>
      </c>
    </row>
    <row r="31" spans="1:21" ht="15" x14ac:dyDescent="0.25">
      <c r="A31" s="2" t="s">
        <v>106</v>
      </c>
      <c r="B31" s="4" t="str">
        <f t="shared" si="12"/>
        <v>From Economic</v>
      </c>
      <c r="D31" s="17">
        <f>'Economic Forecasts'!M$16</f>
        <v>3.7699999999999997E-2</v>
      </c>
      <c r="E31" s="17">
        <f>'Economic Forecasts'!N$16</f>
        <v>3.1600000000000003E-2</v>
      </c>
      <c r="F31" s="17">
        <f>'Economic Forecasts'!O$16</f>
        <v>2.86E-2</v>
      </c>
      <c r="G31" s="16">
        <f>'Economic Forecasts'!P$16</f>
        <v>2.87E-2</v>
      </c>
      <c r="H31" s="16">
        <f>'Economic Forecasts'!Q$16</f>
        <v>3.1699999999999999E-2</v>
      </c>
      <c r="I31" s="16">
        <f>'Economic Forecasts'!R$16</f>
        <v>3.7499999999999999E-2</v>
      </c>
      <c r="J31" s="16">
        <f>'Economic Forecasts'!S$16</f>
        <v>4.1299999999999996E-2</v>
      </c>
      <c r="K31" s="16">
        <f>'Economic Forecasts'!T$16</f>
        <v>4.2900000000000001E-2</v>
      </c>
      <c r="L31" s="10">
        <f ca="1">SUM(K$31,MIN(OFFSET(Assumptions!$B$23,0,$C$1),ABS(OFFSET(Assumptions!$B$16,0,$C$1)-K$31))*SIGN(OFFSET(Assumptions!$B$16,0,$C$1)-K$31))</f>
        <v>4.4900000000000002E-2</v>
      </c>
      <c r="M31" s="10">
        <f ca="1">SUM(L$31,MIN(OFFSET(Assumptions!$B$23,0,$C$1),ABS(OFFSET(Assumptions!$B$16,0,$C$1)-L$31))*SIGN(OFFSET(Assumptions!$B$16,0,$C$1)-L$31))</f>
        <v>4.6900000000000004E-2</v>
      </c>
      <c r="N31" s="10">
        <f ca="1">SUM(M$31,MIN(OFFSET(Assumptions!$B$23,0,$C$1),ABS(OFFSET(Assumptions!$B$16,0,$C$1)-M$31))*SIGN(OFFSET(Assumptions!$B$16,0,$C$1)-M$31))</f>
        <v>4.8900000000000006E-2</v>
      </c>
      <c r="O31" s="10">
        <f ca="1">SUM(N$31,MIN(OFFSET(Assumptions!$B$23,0,$C$1),ABS(OFFSET(Assumptions!$B$16,0,$C$1)-N$31))*SIGN(OFFSET(Assumptions!$B$16,0,$C$1)-N$31))</f>
        <v>5.0900000000000008E-2</v>
      </c>
      <c r="P31" s="10">
        <f ca="1">SUM(O$31,MIN(OFFSET(Assumptions!$B$23,0,$C$1),ABS(OFFSET(Assumptions!$B$16,0,$C$1)-O$31))*SIGN(OFFSET(Assumptions!$B$16,0,$C$1)-O$31))</f>
        <v>5.290000000000001E-2</v>
      </c>
      <c r="Q31" s="10">
        <f ca="1">SUM(P$31,MIN(OFFSET(Assumptions!$B$23,0,$C$1),ABS(OFFSET(Assumptions!$B$16,0,$C$1)-P$31))*SIGN(OFFSET(Assumptions!$B$16,0,$C$1)-P$31))</f>
        <v>5.2999999999999999E-2</v>
      </c>
      <c r="R31" s="10">
        <f ca="1">SUM(Q$31,MIN(OFFSET(Assumptions!$B$23,0,$C$1),ABS(OFFSET(Assumptions!$B$16,0,$C$1)-Q$31))*SIGN(OFFSET(Assumptions!$B$16,0,$C$1)-Q$31))</f>
        <v>5.2999999999999999E-2</v>
      </c>
      <c r="S31" s="10">
        <f ca="1">SUM(R$31,MIN(OFFSET(Assumptions!$B$23,0,$C$1),ABS(OFFSET(Assumptions!$B$16,0,$C$1)-R$31))*SIGN(OFFSET(Assumptions!$B$16,0,$C$1)-R$31))</f>
        <v>5.2999999999999999E-2</v>
      </c>
      <c r="T31" s="10">
        <f ca="1">SUM(S$31,MIN(OFFSET(Assumptions!$B$23,0,$C$1),ABS(OFFSET(Assumptions!$B$16,0,$C$1)-S$31))*SIGN(OFFSET(Assumptions!$B$16,0,$C$1)-S$31))</f>
        <v>5.2999999999999999E-2</v>
      </c>
      <c r="U31" s="10">
        <f ca="1">SUM(T$31,MIN(OFFSET(Assumptions!$B$23,0,$C$1),ABS(OFFSET(Assumptions!$B$16,0,$C$1)-T$31))*SIGN(OFFSET(Assumptions!$B$16,0,$C$1)-T$31))</f>
        <v>5.2999999999999999E-2</v>
      </c>
    </row>
    <row r="32" spans="1:21" ht="15" x14ac:dyDescent="0.25">
      <c r="A32" s="2"/>
      <c r="B32" s="4"/>
    </row>
    <row r="33" spans="1:21" ht="16.5" x14ac:dyDescent="0.25">
      <c r="A33" s="54" t="s">
        <v>275</v>
      </c>
    </row>
    <row r="34" spans="1:21" x14ac:dyDescent="0.2">
      <c r="A34" s="18" t="s">
        <v>138</v>
      </c>
    </row>
    <row r="35" spans="1:21" x14ac:dyDescent="0.2">
      <c r="A35" s="1" t="s">
        <v>635</v>
      </c>
      <c r="B35" s="4"/>
      <c r="D35" s="14">
        <f ca="1">SUM(D$130,D$140,D$144,D$154,D$162,D$168,D$536)</f>
        <v>95.013000000000005</v>
      </c>
      <c r="E35" s="14">
        <f t="shared" ref="E35:U35" ca="1" si="15">SUM(E$130,E$140,E$144,E$154,E$162,E$168,E$536)</f>
        <v>98.158999999999992</v>
      </c>
      <c r="F35" s="14">
        <f t="shared" ca="1" si="15"/>
        <v>104.22699999999998</v>
      </c>
      <c r="G35" s="15">
        <f t="shared" ca="1" si="15"/>
        <v>110.08800000000001</v>
      </c>
      <c r="H35" s="15">
        <f t="shared" ca="1" si="15"/>
        <v>116.16499999999996</v>
      </c>
      <c r="I35" s="15">
        <f t="shared" ca="1" si="15"/>
        <v>122.57000000000001</v>
      </c>
      <c r="J35" s="15">
        <f t="shared" ca="1" si="15"/>
        <v>128.54500000000002</v>
      </c>
      <c r="K35" s="15">
        <f t="shared" ca="1" si="15"/>
        <v>134.428</v>
      </c>
      <c r="L35" s="6">
        <f t="shared" ca="1" si="15"/>
        <v>140.10328710628968</v>
      </c>
      <c r="M35" s="6">
        <f t="shared" ca="1" si="15"/>
        <v>147.12720731025138</v>
      </c>
      <c r="N35" s="6">
        <f t="shared" ca="1" si="15"/>
        <v>153.81378350257148</v>
      </c>
      <c r="O35" s="6">
        <f t="shared" ca="1" si="15"/>
        <v>160.80579881733172</v>
      </c>
      <c r="P35" s="6">
        <f t="shared" ca="1" si="15"/>
        <v>167.92798280360597</v>
      </c>
      <c r="Q35" s="6">
        <f t="shared" ca="1" si="15"/>
        <v>175.4172516902488</v>
      </c>
      <c r="R35" s="6">
        <f t="shared" ca="1" si="15"/>
        <v>182.98476744185038</v>
      </c>
      <c r="S35" s="6">
        <f t="shared" ca="1" si="15"/>
        <v>190.85016891848423</v>
      </c>
      <c r="T35" s="6">
        <f t="shared" ca="1" si="15"/>
        <v>198.83013236910929</v>
      </c>
      <c r="U35" s="6">
        <f t="shared" ca="1" si="15"/>
        <v>207.25746551682153</v>
      </c>
    </row>
    <row r="36" spans="1:21" x14ac:dyDescent="0.2">
      <c r="A36" s="1" t="s">
        <v>636</v>
      </c>
      <c r="B36" s="4"/>
      <c r="D36" s="14">
        <f t="shared" ref="D36:I36" si="16">SUM(D$182,D$200,D$206,D$217,D$224,D$231,D$236,D$239,D$535-D$533)</f>
        <v>94.272000000000006</v>
      </c>
      <c r="E36" s="14">
        <f t="shared" si="16"/>
        <v>95.88</v>
      </c>
      <c r="F36" s="14">
        <f t="shared" si="16"/>
        <v>99.812000000000012</v>
      </c>
      <c r="G36" s="15">
        <f t="shared" si="16"/>
        <v>106.51500000000001</v>
      </c>
      <c r="H36" s="15">
        <f t="shared" si="16"/>
        <v>111.98400000000001</v>
      </c>
      <c r="I36" s="15">
        <f t="shared" si="16"/>
        <v>116.68199999999999</v>
      </c>
      <c r="J36" s="15">
        <f>SUM(J$182,J$200,J$206,J$217,J$224,J$231,J$236,J$239,J$535-J$533)</f>
        <v>122.32099999999998</v>
      </c>
      <c r="K36" s="15">
        <f>SUM(K$182,K$200,K$206,K$217,K$224,K$231,K$236,K$239,K$535-K$533)</f>
        <v>126.61500000000001</v>
      </c>
      <c r="L36" s="6">
        <f t="shared" ref="L36:U36" ca="1" si="17">SUM(L$182,L$200,L$206,L$217,L$224,L$231,L$236,L$239,L$535-L$533)</f>
        <v>132.70883837802037</v>
      </c>
      <c r="M36" s="6">
        <f t="shared" ca="1" si="17"/>
        <v>139.00279230706676</v>
      </c>
      <c r="N36" s="6">
        <f t="shared" ca="1" si="17"/>
        <v>145.3686961692041</v>
      </c>
      <c r="O36" s="6">
        <f t="shared" ca="1" si="17"/>
        <v>152.08353651595388</v>
      </c>
      <c r="P36" s="6">
        <f t="shared" ca="1" si="17"/>
        <v>159.16492091185998</v>
      </c>
      <c r="Q36" s="6">
        <f t="shared" ca="1" si="17"/>
        <v>166.57544259619581</v>
      </c>
      <c r="R36" s="6">
        <f t="shared" ca="1" si="17"/>
        <v>174.28388919387399</v>
      </c>
      <c r="S36" s="6">
        <f t="shared" ca="1" si="17"/>
        <v>181.80749217436261</v>
      </c>
      <c r="T36" s="6">
        <f t="shared" ca="1" si="17"/>
        <v>189.60483099743669</v>
      </c>
      <c r="U36" s="6">
        <f t="shared" ca="1" si="17"/>
        <v>197.70777416007797</v>
      </c>
    </row>
    <row r="37" spans="1:21" x14ac:dyDescent="0.2">
      <c r="A37" s="1" t="s">
        <v>638</v>
      </c>
      <c r="B37" s="4" t="s">
        <v>285</v>
      </c>
      <c r="D37" s="14">
        <f>'Fiscal Forecasts'!D$24</f>
        <v>0.32700000000000001</v>
      </c>
      <c r="E37" s="14">
        <f>'Fiscal Forecasts'!E$24</f>
        <v>0.44800000000000001</v>
      </c>
      <c r="F37" s="14">
        <f>'Fiscal Forecasts'!F$24</f>
        <v>0.34599999999999997</v>
      </c>
      <c r="G37" s="15">
        <f>'Fiscal Forecasts'!G$24</f>
        <v>0.432</v>
      </c>
      <c r="H37" s="15">
        <f>'Fiscal Forecasts'!H$24</f>
        <v>0.44400000000000001</v>
      </c>
      <c r="I37" s="15">
        <f>'Fiscal Forecasts'!I$24</f>
        <v>0.46800000000000003</v>
      </c>
      <c r="J37" s="15">
        <f>'Fiscal Forecasts'!J$24</f>
        <v>0.503</v>
      </c>
      <c r="K37" s="15">
        <f>'Fiscal Forecasts'!K$24</f>
        <v>0.501</v>
      </c>
      <c r="L37" s="6">
        <f ca="1">IF(L$6=OFFSET(Assumptions!$B$8,0,$C$1),AVERAGE(I$37/I$410,J$37/J$410,K$37/K$410),K$37/K$410)*L$410</f>
        <v>0.50270383928431095</v>
      </c>
      <c r="M37" s="6">
        <f ca="1">IF(M$6=OFFSET(Assumptions!$B$8,0,$C$1),AVERAGE(J$37/J$410,K$37/K$410,L$37/L$410),L$37/L$410)*M$410</f>
        <v>0.50889062576957655</v>
      </c>
      <c r="N37" s="6">
        <f ca="1">IF(N$6=OFFSET(Assumptions!$B$8,0,$C$1),AVERAGE(K$37/K$410,L$37/L$410,M$37/M$410),M$37/M$410)*N$410</f>
        <v>0.51535308500082178</v>
      </c>
      <c r="O37" s="6">
        <f ca="1">IF(O$6=OFFSET(Assumptions!$B$8,0,$C$1),AVERAGE(L$37/L$410,M$37/M$410,N$37/N$410),N$37/N$410)*O$410</f>
        <v>0.52209827583488311</v>
      </c>
      <c r="P37" s="6">
        <f ca="1">IF(P$6=OFFSET(Assumptions!$B$8,0,$C$1),AVERAGE(M$37/M$410,N$37/N$410,O$37/O$410),O$37/O$410)*P$410</f>
        <v>0.52913579927547394</v>
      </c>
      <c r="Q37" s="6">
        <f ca="1">IF(Q$6=OFFSET(Assumptions!$B$8,0,$C$1),AVERAGE(N$37/N$410,O$37/O$410,P$37/P$410),P$37/P$410)*Q$410</f>
        <v>0.53647572202114158</v>
      </c>
      <c r="R37" s="6">
        <f ca="1">IF(R$6=OFFSET(Assumptions!$B$8,0,$C$1),AVERAGE(O$37/O$410,P$37/P$410,Q$37/Q$410),Q$37/Q$410)*R$410</f>
        <v>0.5441275904419256</v>
      </c>
      <c r="S37" s="6">
        <f ca="1">IF(S$6=OFFSET(Assumptions!$B$8,0,$C$1),AVERAGE(P$37/P$410,Q$37/Q$410,R$37/R$410),R$37/R$410)*S$410</f>
        <v>0.55210187997066007</v>
      </c>
      <c r="T37" s="6">
        <f ca="1">IF(T$6=OFFSET(Assumptions!$B$8,0,$C$1),AVERAGE(Q$37/Q$410,R$37/R$410,S$37/S$410),S$37/S$410)*T$410</f>
        <v>0.56040935943663905</v>
      </c>
      <c r="U37" s="6">
        <f ca="1">IF(U$6=OFFSET(Assumptions!$B$8,0,$C$1),AVERAGE(R$37/R$410,S$37/S$410,T$37/T$410),T$37/T$410)*U$410</f>
        <v>0.56906180488279101</v>
      </c>
    </row>
    <row r="38" spans="1:21" ht="15" x14ac:dyDescent="0.25">
      <c r="A38" s="2" t="s">
        <v>643</v>
      </c>
      <c r="B38" s="4"/>
      <c r="D38" s="34">
        <f ca="1">SUM(D$35,-D$36,-D$37)</f>
        <v>0.41399999999999965</v>
      </c>
      <c r="E38" s="34">
        <f ca="1">SUM(E$35,-E$36,-E$37)</f>
        <v>1.8309999999999964</v>
      </c>
      <c r="F38" s="34">
        <f ca="1">SUM(F$35,-F$36,-F$37)</f>
        <v>4.0689999999999635</v>
      </c>
      <c r="G38" s="33">
        <f t="shared" ref="G38:U38" ca="1" si="18">SUM(G$35,-G$36,-G$37)</f>
        <v>3.1409999999999934</v>
      </c>
      <c r="H38" s="33">
        <f t="shared" ca="1" si="18"/>
        <v>3.7369999999999548</v>
      </c>
      <c r="I38" s="33">
        <f t="shared" ca="1" si="18"/>
        <v>5.4200000000000195</v>
      </c>
      <c r="J38" s="33">
        <f t="shared" ca="1" si="18"/>
        <v>5.7210000000000321</v>
      </c>
      <c r="K38" s="33">
        <f t="shared" ca="1" si="18"/>
        <v>7.3119999999999878</v>
      </c>
      <c r="L38" s="37">
        <f t="shared" ca="1" si="18"/>
        <v>6.8917448889849995</v>
      </c>
      <c r="M38" s="37">
        <f t="shared" ca="1" si="18"/>
        <v>7.6155243774150465</v>
      </c>
      <c r="N38" s="37">
        <f t="shared" ca="1" si="18"/>
        <v>7.9297342483665609</v>
      </c>
      <c r="O38" s="37">
        <f t="shared" ca="1" si="18"/>
        <v>8.2001640255429553</v>
      </c>
      <c r="P38" s="37">
        <f t="shared" ca="1" si="18"/>
        <v>8.2339260924705169</v>
      </c>
      <c r="Q38" s="37">
        <f t="shared" ca="1" si="18"/>
        <v>8.3053333720318498</v>
      </c>
      <c r="R38" s="37">
        <f t="shared" ca="1" si="18"/>
        <v>8.1567506575344648</v>
      </c>
      <c r="S38" s="37">
        <f t="shared" ca="1" si="18"/>
        <v>8.4905748641509611</v>
      </c>
      <c r="T38" s="37">
        <f t="shared" ca="1" si="18"/>
        <v>8.6648920122359616</v>
      </c>
      <c r="U38" s="37">
        <f t="shared" ca="1" si="18"/>
        <v>8.9806295518607602</v>
      </c>
    </row>
    <row r="39" spans="1:21" x14ac:dyDescent="0.2">
      <c r="A39" s="1" t="s">
        <v>637</v>
      </c>
      <c r="D39" s="14">
        <f t="shared" ref="D39:U39" si="19">D$328</f>
        <v>4.5469999999999997</v>
      </c>
      <c r="E39" s="14">
        <f t="shared" si="19"/>
        <v>-7.5189999999999992</v>
      </c>
      <c r="F39" s="14">
        <f t="shared" si="19"/>
        <v>7.6509999999999998</v>
      </c>
      <c r="G39" s="15">
        <f t="shared" si="19"/>
        <v>3.6720000000000006</v>
      </c>
      <c r="H39" s="15">
        <f t="shared" si="19"/>
        <v>2.8039999999999998</v>
      </c>
      <c r="I39" s="15">
        <f t="shared" si="19"/>
        <v>3.1349999999999998</v>
      </c>
      <c r="J39" s="15">
        <f t="shared" si="19"/>
        <v>3.55</v>
      </c>
      <c r="K39" s="15">
        <f t="shared" si="19"/>
        <v>4.0369999999999999</v>
      </c>
      <c r="L39" s="6">
        <f t="shared" ca="1" si="19"/>
        <v>3.6029575561437817</v>
      </c>
      <c r="M39" s="6">
        <f t="shared" ca="1" si="19"/>
        <v>4.037804800384917</v>
      </c>
      <c r="N39" s="6">
        <f t="shared" ca="1" si="19"/>
        <v>4.5067973647631465</v>
      </c>
      <c r="O39" s="6">
        <f t="shared" ca="1" si="19"/>
        <v>5.0086606967286036</v>
      </c>
      <c r="P39" s="6">
        <f t="shared" ca="1" si="19"/>
        <v>5.5432999133392915</v>
      </c>
      <c r="Q39" s="6">
        <f t="shared" ca="1" si="19"/>
        <v>5.9809862416155539</v>
      </c>
      <c r="R39" s="6">
        <f t="shared" ca="1" si="19"/>
        <v>6.4168448540855207</v>
      </c>
      <c r="S39" s="6">
        <f t="shared" ca="1" si="19"/>
        <v>6.8617816986361566</v>
      </c>
      <c r="T39" s="6">
        <f t="shared" ca="1" si="19"/>
        <v>7.3189052973466016</v>
      </c>
      <c r="U39" s="6">
        <f t="shared" ca="1" si="19"/>
        <v>7.7889896472002249</v>
      </c>
    </row>
    <row r="40" spans="1:21" x14ac:dyDescent="0.2">
      <c r="A40" s="1" t="s">
        <v>639</v>
      </c>
      <c r="B40" s="4" t="str">
        <f>$B$37</f>
        <v>From Fiscal</v>
      </c>
      <c r="D40" s="14">
        <f>'Fiscal Forecasts'!D$28</f>
        <v>0.218</v>
      </c>
      <c r="E40" s="14">
        <f>'Fiscal Forecasts'!E$28</f>
        <v>-1.2E-2</v>
      </c>
      <c r="F40" s="14">
        <f>'Fiscal Forecasts'!F$28</f>
        <v>-2.7E-2</v>
      </c>
      <c r="G40" s="15">
        <f>'Fiscal Forecasts'!G$28</f>
        <v>1.7000000000000001E-2</v>
      </c>
      <c r="H40" s="15">
        <f>'Fiscal Forecasts'!H$28</f>
        <v>1.7000000000000001E-2</v>
      </c>
      <c r="I40" s="15">
        <f>'Fiscal Forecasts'!I$28</f>
        <v>1E-3</v>
      </c>
      <c r="J40" s="15">
        <f>'Fiscal Forecasts'!J$28</f>
        <v>2E-3</v>
      </c>
      <c r="K40" s="15">
        <f>'Fiscal Forecasts'!K$28</f>
        <v>4.0000000000000001E-3</v>
      </c>
      <c r="L40" s="6">
        <f ca="1">IF(L$6=OFFSET(Assumptions!$B$8,0,$C$1),AVERAGE(I$40/I$410,J$40/J$410,K$40/K$410),K$40/K$410)*L$410</f>
        <v>2.3931713605799781E-3</v>
      </c>
      <c r="M40" s="6">
        <f ca="1">IF(M$6=OFFSET(Assumptions!$B$8,0,$C$1),AVERAGE(J$40/J$410,K$40/K$410,L$40/L$410),L$40/L$410)*M$410</f>
        <v>2.4226241697163473E-3</v>
      </c>
      <c r="N40" s="6">
        <f ca="1">IF(N$6=OFFSET(Assumptions!$B$8,0,$C$1),AVERAGE(K$40/K$410,L$40/L$410,M$40/M$410),M$40/M$410)*N$410</f>
        <v>2.4533893462329024E-3</v>
      </c>
      <c r="O40" s="6">
        <f ca="1">IF(O$6=OFFSET(Assumptions!$B$8,0,$C$1),AVERAGE(L$40/L$410,M$40/M$410,N$40/N$410),N$40/N$410)*O$410</f>
        <v>2.4855004945159623E-3</v>
      </c>
      <c r="P40" s="6">
        <f ca="1">IF(P$6=OFFSET(Assumptions!$B$8,0,$C$1),AVERAGE(M$40/M$410,N$40/N$410,O$40/O$410),O$40/O$410)*P$410</f>
        <v>2.5190033210935551E-3</v>
      </c>
      <c r="Q40" s="6">
        <f ca="1">IF(Q$6=OFFSET(Assumptions!$B$8,0,$C$1),AVERAGE(N$40/N$410,O$40/O$410,P$40/P$410),P$40/P$410)*Q$410</f>
        <v>2.5539457494800364E-3</v>
      </c>
      <c r="R40" s="6">
        <f ca="1">IF(R$6=OFFSET(Assumptions!$B$8,0,$C$1),AVERAGE(O$40/O$410,P$40/P$410,Q$40/Q$410),Q$40/Q$410)*R$410</f>
        <v>2.5903732261144253E-3</v>
      </c>
      <c r="S40" s="6">
        <f ca="1">IF(S$6=OFFSET(Assumptions!$B$8,0,$C$1),AVERAGE(P$40/P$410,Q$40/Q$410,R$40/R$410),R$40/R$410)*S$410</f>
        <v>2.6283356203310867E-3</v>
      </c>
      <c r="T40" s="6">
        <f ca="1">IF(T$6=OFFSET(Assumptions!$B$8,0,$C$1),AVERAGE(Q$40/Q$410,R$40/R$410,S$40/S$410),S$40/S$410)*T$410</f>
        <v>2.6678841982072602E-3</v>
      </c>
      <c r="U40" s="6">
        <f ca="1">IF(U$6=OFFSET(Assumptions!$B$8,0,$C$1),AVERAGE(R$40/R$410,S$40/S$410,T$40/T$410),T$40/T$410)*U$410</f>
        <v>2.7090750207603388E-3</v>
      </c>
    </row>
    <row r="41" spans="1:21" x14ac:dyDescent="0.2">
      <c r="A41" s="1" t="s">
        <v>261</v>
      </c>
      <c r="B41" s="4"/>
      <c r="D41" s="14">
        <f>D$332</f>
        <v>1.028</v>
      </c>
      <c r="E41" s="14">
        <f>E$332</f>
        <v>0.307</v>
      </c>
      <c r="F41" s="14">
        <f>F$332</f>
        <v>0.56999999999999995</v>
      </c>
      <c r="G41" s="15">
        <f t="shared" ref="G41:U41" si="20">G$332</f>
        <v>0.20100000000000001</v>
      </c>
      <c r="H41" s="15">
        <f t="shared" si="20"/>
        <v>0.249</v>
      </c>
      <c r="I41" s="15">
        <f t="shared" si="20"/>
        <v>0.28299999999999997</v>
      </c>
      <c r="J41" s="15">
        <f t="shared" si="20"/>
        <v>0.29799999999999999</v>
      </c>
      <c r="K41" s="15">
        <f t="shared" si="20"/>
        <v>0.307</v>
      </c>
      <c r="L41" s="6">
        <f t="shared" ca="1" si="20"/>
        <v>0.32376799048446347</v>
      </c>
      <c r="M41" s="6">
        <f t="shared" ca="1" si="20"/>
        <v>0.33853049427657023</v>
      </c>
      <c r="N41" s="6">
        <f t="shared" ca="1" si="20"/>
        <v>0.35361484075875516</v>
      </c>
      <c r="O41" s="6">
        <f t="shared" ca="1" si="20"/>
        <v>0.36908543595012461</v>
      </c>
      <c r="P41" s="6">
        <f t="shared" ca="1" si="20"/>
        <v>0.38508138182885543</v>
      </c>
      <c r="Q41" s="6">
        <f t="shared" ca="1" si="20"/>
        <v>0.40162816042875349</v>
      </c>
      <c r="R41" s="6">
        <f t="shared" ca="1" si="20"/>
        <v>0.41869730025378832</v>
      </c>
      <c r="S41" s="6">
        <f t="shared" ca="1" si="20"/>
        <v>0.43633963804896037</v>
      </c>
      <c r="T41" s="6">
        <f t="shared" ca="1" si="20"/>
        <v>0.45457122797241989</v>
      </c>
      <c r="U41" s="6">
        <f t="shared" ca="1" si="20"/>
        <v>0.47344718305098599</v>
      </c>
    </row>
    <row r="42" spans="1:21" ht="15" x14ac:dyDescent="0.25">
      <c r="A42" s="2" t="s">
        <v>644</v>
      </c>
      <c r="B42" s="4"/>
      <c r="D42" s="34">
        <f ca="1">SUM(D$38,D$39,-D$40,D$41)</f>
        <v>5.770999999999999</v>
      </c>
      <c r="E42" s="34">
        <f ca="1">SUM(E$38,E$39,-E$40,E$41)</f>
        <v>-5.3690000000000024</v>
      </c>
      <c r="F42" s="34">
        <f ca="1">SUM(F$38,F$39,-F$40,F$41)</f>
        <v>12.316999999999963</v>
      </c>
      <c r="G42" s="33">
        <f t="shared" ref="G42:U42" ca="1" si="21">SUM(G$38,G$39,-G$40,G$41)</f>
        <v>6.9969999999999928</v>
      </c>
      <c r="H42" s="33">
        <f t="shared" ca="1" si="21"/>
        <v>6.7729999999999535</v>
      </c>
      <c r="I42" s="33">
        <f t="shared" ca="1" si="21"/>
        <v>8.8370000000000193</v>
      </c>
      <c r="J42" s="33">
        <f t="shared" ca="1" si="21"/>
        <v>9.5670000000000321</v>
      </c>
      <c r="K42" s="33">
        <f t="shared" ca="1" si="21"/>
        <v>11.651999999999989</v>
      </c>
      <c r="L42" s="37">
        <f t="shared" ca="1" si="21"/>
        <v>10.816077264252662</v>
      </c>
      <c r="M42" s="37">
        <f t="shared" ca="1" si="21"/>
        <v>11.989437047906819</v>
      </c>
      <c r="N42" s="37">
        <f t="shared" ca="1" si="21"/>
        <v>12.78769306454223</v>
      </c>
      <c r="O42" s="37">
        <f t="shared" ca="1" si="21"/>
        <v>13.575424657727167</v>
      </c>
      <c r="P42" s="37">
        <f t="shared" ca="1" si="21"/>
        <v>14.15978838431757</v>
      </c>
      <c r="Q42" s="37">
        <f t="shared" ca="1" si="21"/>
        <v>14.685393828326678</v>
      </c>
      <c r="R42" s="37">
        <f t="shared" ca="1" si="21"/>
        <v>14.989702438647658</v>
      </c>
      <c r="S42" s="37">
        <f t="shared" ca="1" si="21"/>
        <v>15.786067865215747</v>
      </c>
      <c r="T42" s="37">
        <f t="shared" ca="1" si="21"/>
        <v>16.435700653356776</v>
      </c>
      <c r="U42" s="37">
        <f t="shared" ca="1" si="21"/>
        <v>17.240357307091209</v>
      </c>
    </row>
    <row r="43" spans="1:21" ht="15" x14ac:dyDescent="0.25">
      <c r="A43" s="26" t="s">
        <v>645</v>
      </c>
      <c r="D43" s="5" t="str">
        <f>IF(ROUND(D$36-SUM(D$188,D$224,D$236,D$239,D$244,D$250,D$259,D$267,D$271,D$275,D$282,D$289,D$293,D$297,D$301,D$307,D$311,D$535-D$533),3)=0,"OK","ERROR")</f>
        <v>OK</v>
      </c>
      <c r="E43" s="5" t="str">
        <f t="shared" ref="E43:U43" si="22">IF(ROUND(E$36-SUM(E$188,E$224,E$236,E$239,E$244,E$250,E$259,E$267,E$271,E$275,E$282,E$289,E$293,E$297,E$301,E$307,E$311,E$535-E$533),3)=0,"OK","ERROR")</f>
        <v>OK</v>
      </c>
      <c r="F43" s="5" t="str">
        <f t="shared" si="22"/>
        <v>OK</v>
      </c>
      <c r="G43" s="5" t="str">
        <f t="shared" si="22"/>
        <v>OK</v>
      </c>
      <c r="H43" s="5" t="str">
        <f t="shared" si="22"/>
        <v>OK</v>
      </c>
      <c r="I43" s="5" t="str">
        <f t="shared" si="22"/>
        <v>OK</v>
      </c>
      <c r="J43" s="5" t="str">
        <f t="shared" si="22"/>
        <v>OK</v>
      </c>
      <c r="K43" s="5" t="str">
        <f t="shared" si="22"/>
        <v>OK</v>
      </c>
      <c r="L43" s="5" t="str">
        <f t="shared" ca="1" si="22"/>
        <v>OK</v>
      </c>
      <c r="M43" s="5" t="str">
        <f t="shared" ca="1" si="22"/>
        <v>OK</v>
      </c>
      <c r="N43" s="5" t="str">
        <f t="shared" ca="1" si="22"/>
        <v>OK</v>
      </c>
      <c r="O43" s="5" t="str">
        <f t="shared" ca="1" si="22"/>
        <v>OK</v>
      </c>
      <c r="P43" s="5" t="str">
        <f t="shared" ca="1" si="22"/>
        <v>OK</v>
      </c>
      <c r="Q43" s="5" t="str">
        <f t="shared" ca="1" si="22"/>
        <v>OK</v>
      </c>
      <c r="R43" s="5" t="str">
        <f t="shared" ca="1" si="22"/>
        <v>OK</v>
      </c>
      <c r="S43" s="5" t="str">
        <f t="shared" ca="1" si="22"/>
        <v>OK</v>
      </c>
      <c r="T43" s="5" t="str">
        <f t="shared" ca="1" si="22"/>
        <v>OK</v>
      </c>
      <c r="U43" s="5" t="str">
        <f t="shared" ca="1" si="22"/>
        <v>OK</v>
      </c>
    </row>
    <row r="44" spans="1:21" ht="15" x14ac:dyDescent="0.25">
      <c r="A44" s="1" t="s">
        <v>641</v>
      </c>
      <c r="D44" s="39">
        <f ca="1">SUM(D$132,D$137,D$143,D$150,D$159,D$167,D$530)</f>
        <v>72.212999999999994</v>
      </c>
      <c r="E44" s="39">
        <f t="shared" ref="E44:U44" ca="1" si="23">SUM(E$132,E$137,E$143,E$150,E$159,E$167,E$530)</f>
        <v>76.120999999999981</v>
      </c>
      <c r="F44" s="39">
        <f t="shared" ca="1" si="23"/>
        <v>81.782000000000011</v>
      </c>
      <c r="G44" s="38">
        <f t="shared" ca="1" si="23"/>
        <v>85.959000000000003</v>
      </c>
      <c r="H44" s="38">
        <f t="shared" ca="1" si="23"/>
        <v>90.964999999999989</v>
      </c>
      <c r="I44" s="38">
        <f t="shared" ca="1" si="23"/>
        <v>96.221000000000018</v>
      </c>
      <c r="J44" s="38">
        <f t="shared" ca="1" si="23"/>
        <v>101.178</v>
      </c>
      <c r="K44" s="38">
        <f t="shared" ca="1" si="23"/>
        <v>106.259</v>
      </c>
      <c r="L44" s="7">
        <f t="shared" ca="1" si="23"/>
        <v>110.32473161252483</v>
      </c>
      <c r="M44" s="7">
        <f t="shared" ca="1" si="23"/>
        <v>115.87629064398489</v>
      </c>
      <c r="N44" s="7">
        <f t="shared" ca="1" si="23"/>
        <v>121.20142461827093</v>
      </c>
      <c r="O44" s="7">
        <f t="shared" ca="1" si="23"/>
        <v>126.67727352406372</v>
      </c>
      <c r="P44" s="7">
        <f t="shared" ca="1" si="23"/>
        <v>132.35048217743483</v>
      </c>
      <c r="Q44" s="7">
        <f t="shared" ca="1" si="23"/>
        <v>138.18612914729496</v>
      </c>
      <c r="R44" s="7">
        <f t="shared" ca="1" si="23"/>
        <v>144.21245518689096</v>
      </c>
      <c r="S44" s="7">
        <f t="shared" ca="1" si="23"/>
        <v>150.33605507774809</v>
      </c>
      <c r="T44" s="7">
        <f t="shared" ca="1" si="23"/>
        <v>156.66484728811585</v>
      </c>
      <c r="U44" s="7">
        <f t="shared" ca="1" si="23"/>
        <v>163.21458774587111</v>
      </c>
    </row>
    <row r="45" spans="1:21" ht="15" x14ac:dyDescent="0.25">
      <c r="A45" s="1" t="s">
        <v>642</v>
      </c>
      <c r="D45" s="39">
        <f>SUM(D$183,D$196,D$203,D$213,D$220,D$228,D$236,D$239,D$529-D$526)</f>
        <v>72.363</v>
      </c>
      <c r="E45" s="39">
        <f>SUM(E$183,E$196,E$203,E$213,E$220,E$228,E$236,E$239,E$529-E$526)</f>
        <v>73.929000000000002</v>
      </c>
      <c r="F45" s="39">
        <f>SUM(F$183,F$196,F$203,F$213,F$220,F$228,F$236,F$239,F$529-F$526)</f>
        <v>76.338999999999999</v>
      </c>
      <c r="G45" s="38">
        <f t="shared" ref="G45:U45" si="24">SUM(G$183,G$196,G$203,G$213,G$220,G$228,G$236,G$239,G$529-G$526)</f>
        <v>81.72</v>
      </c>
      <c r="H45" s="38">
        <f t="shared" si="24"/>
        <v>86.720000000000013</v>
      </c>
      <c r="I45" s="38">
        <f t="shared" si="24"/>
        <v>90.075000000000003</v>
      </c>
      <c r="J45" s="38">
        <f t="shared" si="24"/>
        <v>94.715000000000018</v>
      </c>
      <c r="K45" s="38">
        <f t="shared" si="24"/>
        <v>98.108000000000004</v>
      </c>
      <c r="L45" s="7">
        <f t="shared" ca="1" si="24"/>
        <v>102.20374664714706</v>
      </c>
      <c r="M45" s="7">
        <f t="shared" ca="1" si="24"/>
        <v>107.05008567305993</v>
      </c>
      <c r="N45" s="7">
        <f t="shared" ca="1" si="24"/>
        <v>111.94134522411296</v>
      </c>
      <c r="O45" s="7">
        <f t="shared" ca="1" si="24"/>
        <v>117.13450091496094</v>
      </c>
      <c r="P45" s="7">
        <f t="shared" ca="1" si="24"/>
        <v>122.62598995845126</v>
      </c>
      <c r="Q45" s="7">
        <f t="shared" ca="1" si="24"/>
        <v>128.38358247885014</v>
      </c>
      <c r="R45" s="7">
        <f t="shared" ca="1" si="24"/>
        <v>134.3632787735574</v>
      </c>
      <c r="S45" s="7">
        <f t="shared" ca="1" si="24"/>
        <v>140.2047829198913</v>
      </c>
      <c r="T45" s="7">
        <f t="shared" ca="1" si="24"/>
        <v>146.2606160771906</v>
      </c>
      <c r="U45" s="7">
        <f t="shared" ca="1" si="24"/>
        <v>152.55791465517436</v>
      </c>
    </row>
    <row r="46" spans="1:21" ht="15" x14ac:dyDescent="0.25">
      <c r="A46" s="1" t="s">
        <v>262</v>
      </c>
      <c r="D46" s="39">
        <f t="shared" ref="D46:U46" ca="1" si="25">SUM(D$44,-D$45,D$324,D$331)</f>
        <v>3.8789999999999947</v>
      </c>
      <c r="E46" s="39">
        <f t="shared" ca="1" si="25"/>
        <v>-0.91200000000002102</v>
      </c>
      <c r="F46" s="39">
        <f t="shared" ca="1" si="25"/>
        <v>12.064000000000012</v>
      </c>
      <c r="G46" s="38">
        <f t="shared" ca="1" si="25"/>
        <v>8.0690000000000044</v>
      </c>
      <c r="H46" s="38">
        <f t="shared" ca="1" si="25"/>
        <v>7.1139999999999759</v>
      </c>
      <c r="I46" s="38">
        <f t="shared" ca="1" si="25"/>
        <v>9.3070000000000146</v>
      </c>
      <c r="J46" s="38">
        <f t="shared" ca="1" si="25"/>
        <v>9.992999999999979</v>
      </c>
      <c r="K46" s="38">
        <f t="shared" ca="1" si="25"/>
        <v>12.127999999999997</v>
      </c>
      <c r="L46" s="7">
        <f t="shared" ca="1" si="25"/>
        <v>11.682198925671155</v>
      </c>
      <c r="M46" s="7">
        <f t="shared" ca="1" si="25"/>
        <v>12.815906818616766</v>
      </c>
      <c r="N46" s="7">
        <f t="shared" ca="1" si="25"/>
        <v>13.711745006793265</v>
      </c>
      <c r="O46" s="7">
        <f t="shared" ca="1" si="25"/>
        <v>14.489575149311118</v>
      </c>
      <c r="P46" s="7">
        <f t="shared" ca="1" si="25"/>
        <v>15.199969021317335</v>
      </c>
      <c r="Q46" s="7">
        <f t="shared" ca="1" si="25"/>
        <v>15.706938016110644</v>
      </c>
      <c r="R46" s="7">
        <f t="shared" ca="1" si="25"/>
        <v>16.184224682990184</v>
      </c>
      <c r="S46" s="7">
        <f t="shared" ca="1" si="25"/>
        <v>16.906756040799728</v>
      </c>
      <c r="T46" s="7">
        <f t="shared" ca="1" si="25"/>
        <v>17.631957691972858</v>
      </c>
      <c r="U46" s="7">
        <f t="shared" ca="1" si="25"/>
        <v>18.34912991514927</v>
      </c>
    </row>
    <row r="47" spans="1:21" ht="15" x14ac:dyDescent="0.25">
      <c r="A47" s="1" t="s">
        <v>646</v>
      </c>
      <c r="B47" s="4"/>
      <c r="D47" s="39">
        <f ca="1">SUM(D$44-D$150-D$530)-SUM(D$45-D$220-(D$529-D$526))</f>
        <v>2.4919999999999902</v>
      </c>
      <c r="E47" s="39">
        <f ca="1">SUM(E$44-E$150-E$530)-SUM(E$45-E$220-(E$529-E$526))</f>
        <v>4.6819999999999879</v>
      </c>
      <c r="F47" s="39">
        <f ca="1">SUM(F$44-F$150-F$530)-SUM(F$45-F$220-(F$529-F$526))</f>
        <v>7.8580000000000183</v>
      </c>
      <c r="G47" s="38">
        <f t="shared" ref="G47:U47" ca="1" si="26">SUM(G$44-G$150-G$530)-SUM(G$45-G$220-(G$529-G$526))</f>
        <v>6.5799999999999983</v>
      </c>
      <c r="H47" s="38">
        <f t="shared" ca="1" si="26"/>
        <v>6.3259999999999792</v>
      </c>
      <c r="I47" s="38">
        <f t="shared" ca="1" si="26"/>
        <v>8.2110000000000127</v>
      </c>
      <c r="J47" s="38">
        <f t="shared" ca="1" si="26"/>
        <v>8.5619999999999834</v>
      </c>
      <c r="K47" s="38">
        <f t="shared" ca="1" si="26"/>
        <v>10.10499999999999</v>
      </c>
      <c r="L47" s="7">
        <f t="shared" ca="1" si="26"/>
        <v>10.628555163107862</v>
      </c>
      <c r="M47" s="7">
        <f t="shared" ca="1" si="26"/>
        <v>11.532011393668171</v>
      </c>
      <c r="N47" s="7">
        <f t="shared" ca="1" si="26"/>
        <v>12.227501561953318</v>
      </c>
      <c r="O47" s="7">
        <f t="shared" ca="1" si="26"/>
        <v>12.834360804931165</v>
      </c>
      <c r="P47" s="7">
        <f t="shared" ca="1" si="26"/>
        <v>13.419458048752119</v>
      </c>
      <c r="Q47" s="7">
        <f t="shared" ca="1" si="26"/>
        <v>13.984729379674789</v>
      </c>
      <c r="R47" s="7">
        <f t="shared" ca="1" si="26"/>
        <v>14.564448835830518</v>
      </c>
      <c r="S47" s="7">
        <f t="shared" ca="1" si="26"/>
        <v>15.102111615885264</v>
      </c>
      <c r="T47" s="7">
        <f t="shared" ca="1" si="26"/>
        <v>15.634465344999427</v>
      </c>
      <c r="U47" s="7">
        <f t="shared" ca="1" si="26"/>
        <v>16.155182183920687</v>
      </c>
    </row>
    <row r="48" spans="1:21" ht="15" x14ac:dyDescent="0.25">
      <c r="A48" s="1" t="s">
        <v>647</v>
      </c>
      <c r="B48" s="4"/>
      <c r="D48" s="39">
        <f t="shared" ref="D48:U48" si="27">D$489</f>
        <v>-1.8270000000000008</v>
      </c>
      <c r="E48" s="39">
        <f t="shared" si="27"/>
        <v>-1.3220000000000134</v>
      </c>
      <c r="F48" s="39">
        <f t="shared" si="27"/>
        <v>2.5740000000000069</v>
      </c>
      <c r="G48" s="38">
        <f t="shared" si="27"/>
        <v>-1.254999999999991</v>
      </c>
      <c r="H48" s="38">
        <f t="shared" si="27"/>
        <v>-3.8749999999999911</v>
      </c>
      <c r="I48" s="38">
        <f t="shared" si="27"/>
        <v>-1.7270000000000003</v>
      </c>
      <c r="J48" s="38">
        <f t="shared" si="27"/>
        <v>-1.893000000000006</v>
      </c>
      <c r="K48" s="38">
        <f t="shared" si="27"/>
        <v>0.65199999999998326</v>
      </c>
      <c r="L48" s="7">
        <f t="shared" ca="1" si="27"/>
        <v>-6.406441170176258E-2</v>
      </c>
      <c r="M48" s="7">
        <f t="shared" ca="1" si="27"/>
        <v>-1.1742553977725372</v>
      </c>
      <c r="N48" s="7">
        <f t="shared" ca="1" si="27"/>
        <v>-2.2310534531987187</v>
      </c>
      <c r="O48" s="7">
        <f t="shared" ca="1" si="27"/>
        <v>-3.3139029493615091</v>
      </c>
      <c r="P48" s="7">
        <f t="shared" ca="1" si="27"/>
        <v>-4.478565269461388</v>
      </c>
      <c r="Q48" s="7">
        <f t="shared" ca="1" si="27"/>
        <v>-4.6621098729698645</v>
      </c>
      <c r="R48" s="7">
        <f t="shared" ca="1" si="27"/>
        <v>-4.9211501872436969</v>
      </c>
      <c r="S48" s="7">
        <f t="shared" ca="1" si="27"/>
        <v>-5.0066688505103016</v>
      </c>
      <c r="T48" s="7">
        <f t="shared" ca="1" si="27"/>
        <v>-5.1335307730099125</v>
      </c>
      <c r="U48" s="7">
        <f t="shared" ca="1" si="27"/>
        <v>-5.2922998086091368</v>
      </c>
    </row>
    <row r="49" spans="1:21" ht="15" x14ac:dyDescent="0.25">
      <c r="A49" s="26" t="s">
        <v>648</v>
      </c>
      <c r="D49" s="5" t="str">
        <f>IF(ROUND(D$45-SUM(D$185,D$220,D$236,D$239,D$243,D$247,D$256,D$266,D$270,D$274,D$278,D$288,D$292,D$296,D$300,D$306,D$310,D$529-D$526),3)=0,"OK","ERROR")</f>
        <v>OK</v>
      </c>
      <c r="E49" s="5" t="str">
        <f t="shared" ref="E49:U49" si="28">IF(ROUND(E$45-SUM(E$185,E$220,E$236,E$239,E$243,E$247,E$256,E$266,E$270,E$274,E$278,E$288,E$292,E$296,E$300,E$306,E$310,E$529-E$526),3)=0,"OK","ERROR")</f>
        <v>OK</v>
      </c>
      <c r="F49" s="5" t="str">
        <f t="shared" si="28"/>
        <v>OK</v>
      </c>
      <c r="G49" s="5" t="str">
        <f t="shared" si="28"/>
        <v>OK</v>
      </c>
      <c r="H49" s="5" t="str">
        <f t="shared" si="28"/>
        <v>OK</v>
      </c>
      <c r="I49" s="5" t="str">
        <f t="shared" si="28"/>
        <v>OK</v>
      </c>
      <c r="J49" s="5" t="str">
        <f t="shared" si="28"/>
        <v>OK</v>
      </c>
      <c r="K49" s="5" t="str">
        <f t="shared" si="28"/>
        <v>OK</v>
      </c>
      <c r="L49" s="5" t="str">
        <f t="shared" ca="1" si="28"/>
        <v>OK</v>
      </c>
      <c r="M49" s="5" t="str">
        <f t="shared" ca="1" si="28"/>
        <v>OK</v>
      </c>
      <c r="N49" s="5" t="str">
        <f t="shared" ca="1" si="28"/>
        <v>OK</v>
      </c>
      <c r="O49" s="5" t="str">
        <f t="shared" ca="1" si="28"/>
        <v>OK</v>
      </c>
      <c r="P49" s="5" t="str">
        <f t="shared" ca="1" si="28"/>
        <v>OK</v>
      </c>
      <c r="Q49" s="5" t="str">
        <f t="shared" ca="1" si="28"/>
        <v>OK</v>
      </c>
      <c r="R49" s="5" t="str">
        <f t="shared" ca="1" si="28"/>
        <v>OK</v>
      </c>
      <c r="S49" s="5" t="str">
        <f t="shared" ca="1" si="28"/>
        <v>OK</v>
      </c>
      <c r="T49" s="5" t="str">
        <f t="shared" ca="1" si="28"/>
        <v>OK</v>
      </c>
      <c r="U49" s="5" t="str">
        <f t="shared" ca="1" si="28"/>
        <v>OK</v>
      </c>
    </row>
    <row r="50" spans="1:21" ht="15" x14ac:dyDescent="0.25">
      <c r="A50" s="26"/>
      <c r="D50" s="5"/>
      <c r="E50" s="5"/>
      <c r="F50" s="5"/>
      <c r="G50" s="5"/>
      <c r="H50" s="5"/>
      <c r="I50" s="5"/>
      <c r="J50" s="5"/>
      <c r="K50" s="5"/>
      <c r="L50" s="5"/>
      <c r="M50" s="5"/>
      <c r="N50" s="5"/>
      <c r="O50" s="5"/>
      <c r="P50" s="5"/>
      <c r="Q50" s="5"/>
      <c r="R50" s="5"/>
      <c r="S50" s="5"/>
      <c r="T50" s="5"/>
      <c r="U50" s="5"/>
    </row>
    <row r="51" spans="1:21" x14ac:dyDescent="0.2">
      <c r="A51" s="18" t="s">
        <v>211</v>
      </c>
    </row>
    <row r="52" spans="1:21" x14ac:dyDescent="0.2">
      <c r="A52" s="1" t="s">
        <v>649</v>
      </c>
      <c r="D52" s="14">
        <f ca="1">SUM(D$338,D$345,D$354,D$363,D$386,D$399,D$403,D$411,D$423,D$429,D$441,D$442,D$528)</f>
        <v>278.70300000000003</v>
      </c>
      <c r="E52" s="14">
        <f t="shared" ref="E52:U52" ca="1" si="29">SUM(E$338,E$345,E$354,E$363,E$386,E$399,E$403,E$411,E$423,E$429,E$441,E$442,E$528)</f>
        <v>292.67900000000003</v>
      </c>
      <c r="F52" s="14">
        <f t="shared" ca="1" si="29"/>
        <v>313.60899999999998</v>
      </c>
      <c r="G52" s="15">
        <f t="shared" ca="1" si="29"/>
        <v>324.892</v>
      </c>
      <c r="H52" s="15">
        <f t="shared" ca="1" si="29"/>
        <v>328.93300000000005</v>
      </c>
      <c r="I52" s="15">
        <f t="shared" ca="1" si="29"/>
        <v>342.51200000000006</v>
      </c>
      <c r="J52" s="15">
        <f t="shared" ca="1" si="29"/>
        <v>354.75700000000001</v>
      </c>
      <c r="K52" s="15">
        <f t="shared" ca="1" si="29"/>
        <v>374.798</v>
      </c>
      <c r="L52" s="6">
        <f t="shared" ca="1" si="29"/>
        <v>389.0872555134282</v>
      </c>
      <c r="M52" s="6">
        <f t="shared" ca="1" si="29"/>
        <v>407.68558977422032</v>
      </c>
      <c r="N52" s="6">
        <f t="shared" ca="1" si="29"/>
        <v>428.44256016619505</v>
      </c>
      <c r="O52" s="6">
        <f t="shared" ca="1" si="29"/>
        <v>451.40559311750928</v>
      </c>
      <c r="P52" s="6">
        <f t="shared" ca="1" si="29"/>
        <v>476.54881157205921</v>
      </c>
      <c r="Q52" s="6">
        <f t="shared" ca="1" si="29"/>
        <v>502.82324742626139</v>
      </c>
      <c r="R52" s="6">
        <f t="shared" ca="1" si="29"/>
        <v>530.01163732422981</v>
      </c>
      <c r="S52" s="6">
        <f t="shared" ca="1" si="29"/>
        <v>558.28429240213461</v>
      </c>
      <c r="T52" s="6">
        <f t="shared" ca="1" si="29"/>
        <v>587.60283810327894</v>
      </c>
      <c r="U52" s="6">
        <f t="shared" ca="1" si="29"/>
        <v>618.1095674002845</v>
      </c>
    </row>
    <row r="53" spans="1:21" x14ac:dyDescent="0.2">
      <c r="A53" s="1" t="s">
        <v>653</v>
      </c>
      <c r="D53" s="14">
        <f t="shared" ref="D53:U53" si="30">SUM(D$67,D$445,D$452,D$456,D$462,D$467,D$471)</f>
        <v>186.46700000000001</v>
      </c>
      <c r="E53" s="14">
        <f t="shared" si="30"/>
        <v>197.15800000000002</v>
      </c>
      <c r="F53" s="14">
        <f t="shared" si="30"/>
        <v>197.137</v>
      </c>
      <c r="G53" s="15">
        <f t="shared" si="30"/>
        <v>201.32499999999999</v>
      </c>
      <c r="H53" s="15">
        <f t="shared" si="30"/>
        <v>198.61599999999999</v>
      </c>
      <c r="I53" s="15">
        <f t="shared" si="30"/>
        <v>203.46599999999998</v>
      </c>
      <c r="J53" s="15">
        <f t="shared" si="30"/>
        <v>206.15800000000002</v>
      </c>
      <c r="K53" s="15">
        <f t="shared" si="30"/>
        <v>214.52099999999999</v>
      </c>
      <c r="L53" s="6">
        <f t="shared" ca="1" si="30"/>
        <v>217.99417824917558</v>
      </c>
      <c r="M53" s="6">
        <f t="shared" ca="1" si="30"/>
        <v>224.60307546206096</v>
      </c>
      <c r="N53" s="6">
        <f t="shared" ca="1" si="30"/>
        <v>232.57235278949332</v>
      </c>
      <c r="O53" s="6">
        <f t="shared" ca="1" si="30"/>
        <v>241.9599610830804</v>
      </c>
      <c r="P53" s="6">
        <f t="shared" ca="1" si="30"/>
        <v>252.9433911533128</v>
      </c>
      <c r="Q53" s="6">
        <f t="shared" ca="1" si="30"/>
        <v>264.53243317918839</v>
      </c>
      <c r="R53" s="6">
        <f t="shared" ca="1" si="30"/>
        <v>276.7311206385092</v>
      </c>
      <c r="S53" s="6">
        <f t="shared" ca="1" si="30"/>
        <v>289.21770785119804</v>
      </c>
      <c r="T53" s="6">
        <f t="shared" ca="1" si="30"/>
        <v>302.10055289898588</v>
      </c>
      <c r="U53" s="6">
        <f t="shared" ca="1" si="30"/>
        <v>315.36692488890031</v>
      </c>
    </row>
    <row r="54" spans="1:21" ht="15" x14ac:dyDescent="0.25">
      <c r="A54" s="2" t="s">
        <v>654</v>
      </c>
      <c r="B54" s="4"/>
      <c r="D54" s="34">
        <f ca="1">SUM(D$52,-D$53)</f>
        <v>92.236000000000018</v>
      </c>
      <c r="E54" s="34">
        <f ca="1">SUM(E$52,-E$53)</f>
        <v>95.521000000000015</v>
      </c>
      <c r="F54" s="34">
        <f ca="1">SUM(F$52,-F$53)</f>
        <v>116.47199999999998</v>
      </c>
      <c r="G54" s="33">
        <f t="shared" ref="G54:U54" ca="1" si="31">SUM(G$52,-G$53)</f>
        <v>123.56700000000001</v>
      </c>
      <c r="H54" s="33">
        <f t="shared" ca="1" si="31"/>
        <v>130.31700000000006</v>
      </c>
      <c r="I54" s="33">
        <f t="shared" ca="1" si="31"/>
        <v>139.04600000000008</v>
      </c>
      <c r="J54" s="33">
        <f t="shared" ca="1" si="31"/>
        <v>148.59899999999999</v>
      </c>
      <c r="K54" s="33">
        <f t="shared" ca="1" si="31"/>
        <v>160.27700000000002</v>
      </c>
      <c r="L54" s="37">
        <f t="shared" ca="1" si="31"/>
        <v>171.09307726425263</v>
      </c>
      <c r="M54" s="37">
        <f t="shared" ca="1" si="31"/>
        <v>183.08251431215936</v>
      </c>
      <c r="N54" s="37">
        <f t="shared" ca="1" si="31"/>
        <v>195.87020737670173</v>
      </c>
      <c r="O54" s="37">
        <f t="shared" ca="1" si="31"/>
        <v>209.44563203442888</v>
      </c>
      <c r="P54" s="37">
        <f t="shared" ca="1" si="31"/>
        <v>223.60542041874641</v>
      </c>
      <c r="Q54" s="37">
        <f t="shared" ca="1" si="31"/>
        <v>238.290814247073</v>
      </c>
      <c r="R54" s="37">
        <f t="shared" ca="1" si="31"/>
        <v>253.28051668572061</v>
      </c>
      <c r="S54" s="37">
        <f t="shared" ca="1" si="31"/>
        <v>269.06658455093657</v>
      </c>
      <c r="T54" s="37">
        <f t="shared" ca="1" si="31"/>
        <v>285.50228520429306</v>
      </c>
      <c r="U54" s="37">
        <f t="shared" ca="1" si="31"/>
        <v>302.74264251138419</v>
      </c>
    </row>
    <row r="55" spans="1:21" x14ac:dyDescent="0.2">
      <c r="A55" s="1" t="s">
        <v>287</v>
      </c>
      <c r="B55" s="4" t="str">
        <f>$B$37</f>
        <v>From Fiscal</v>
      </c>
      <c r="D55" s="14">
        <f>'Fiscal Forecasts'!D$137</f>
        <v>5.782</v>
      </c>
      <c r="E55" s="14">
        <f>'Fiscal Forecasts'!E$137</f>
        <v>6.1550000000000002</v>
      </c>
      <c r="F55" s="14">
        <f>'Fiscal Forecasts'!F$137</f>
        <v>5.94</v>
      </c>
      <c r="G55" s="15">
        <f>'Fiscal Forecasts'!G$137</f>
        <v>5.9180000000000001</v>
      </c>
      <c r="H55" s="15">
        <f>'Fiscal Forecasts'!H$137</f>
        <v>5.86</v>
      </c>
      <c r="I55" s="15">
        <f>'Fiscal Forecasts'!I$137</f>
        <v>5.7329999999999997</v>
      </c>
      <c r="J55" s="15">
        <f>'Fiscal Forecasts'!J$137</f>
        <v>5.6719999999999997</v>
      </c>
      <c r="K55" s="15">
        <f>'Fiscal Forecasts'!K$137</f>
        <v>5.6079999999999997</v>
      </c>
      <c r="L55" s="6">
        <f ca="1">IF(L$6=OFFSET(Assumptions!$B$8,0,$C$1),AVERAGE(I$55/I$410,J$55/J$410,K$55/K$410),K$55/K$410)*L$410</f>
        <v>5.8093628804498572</v>
      </c>
      <c r="M55" s="6">
        <f ca="1">IF(M$6=OFFSET(Assumptions!$B$8,0,$C$1),AVERAGE(J$55/J$410,K$55/K$410,L$55/L$410),L$55/L$410)*M$410</f>
        <v>5.8808588288554624</v>
      </c>
      <c r="N55" s="6">
        <f ca="1">IF(N$6=OFFSET(Assumptions!$B$8,0,$C$1),AVERAGE(K$55/K$410,L$55/L$410,M$55/M$410),M$55/M$410)*N$410</f>
        <v>5.9555405158460877</v>
      </c>
      <c r="O55" s="6">
        <f ca="1">IF(O$6=OFFSET(Assumptions!$B$8,0,$C$1),AVERAGE(L$55/L$410,M$55/M$410,N$55/N$410),N$55/N$410)*O$410</f>
        <v>6.0334895152186281</v>
      </c>
      <c r="P55" s="6">
        <f ca="1">IF(P$6=OFFSET(Assumptions!$B$8,0,$C$1),AVERAGE(M$55/M$410,N$55/N$410,O$55/O$410),O$55/O$410)*P$410</f>
        <v>6.1148167784125382</v>
      </c>
      <c r="Q55" s="6">
        <f ca="1">IF(Q$6=OFFSET(Assumptions!$B$8,0,$C$1),AVERAGE(N$55/N$410,O$55/O$410,P$55/P$410),P$55/P$410)*Q$410</f>
        <v>6.1996386385454496</v>
      </c>
      <c r="R55" s="6">
        <f ca="1">IF(R$6=OFFSET(Assumptions!$B$8,0,$C$1),AVERAGE(O$55/O$410,P$55/P$410,Q$55/Q$410),Q$55/Q$410)*R$410</f>
        <v>6.2880654156973312</v>
      </c>
      <c r="S55" s="6">
        <f ca="1">IF(S$6=OFFSET(Assumptions!$B$8,0,$C$1),AVERAGE(P$55/P$410,Q$55/Q$410,R$55/R$410),R$55/R$410)*S$410</f>
        <v>6.3802181664146183</v>
      </c>
      <c r="T55" s="6">
        <f ca="1">IF(T$6=OFFSET(Assumptions!$B$8,0,$C$1),AVERAGE(Q$55/Q$410,R$55/R$410,S$55/S$410),S$55/S$410)*T$410</f>
        <v>6.4762213378017037</v>
      </c>
      <c r="U55" s="6">
        <f ca="1">IF(U$6=OFFSET(Assumptions!$B$8,0,$C$1),AVERAGE(R$55/R$410,S$55/S$410,T$55/T$410),T$55/T$410)*U$410</f>
        <v>6.5762110165587906</v>
      </c>
    </row>
    <row r="56" spans="1:21" ht="15" x14ac:dyDescent="0.25">
      <c r="A56" s="2" t="s">
        <v>650</v>
      </c>
      <c r="D56" s="34">
        <f ca="1">SUM(D$54,-D$55)</f>
        <v>86.454000000000022</v>
      </c>
      <c r="E56" s="34">
        <f ca="1">SUM(E$54,-E$55)</f>
        <v>89.366000000000014</v>
      </c>
      <c r="F56" s="34">
        <f ca="1">SUM(F$54,-F$55)</f>
        <v>110.53199999999998</v>
      </c>
      <c r="G56" s="33">
        <f t="shared" ref="G56:U56" ca="1" si="32">SUM(G$54,-G$55)</f>
        <v>117.649</v>
      </c>
      <c r="H56" s="33">
        <f t="shared" ca="1" si="32"/>
        <v>124.45700000000006</v>
      </c>
      <c r="I56" s="33">
        <f t="shared" ca="1" si="32"/>
        <v>133.31300000000007</v>
      </c>
      <c r="J56" s="33">
        <f t="shared" ca="1" si="32"/>
        <v>142.92699999999999</v>
      </c>
      <c r="K56" s="33">
        <f t="shared" ca="1" si="32"/>
        <v>154.66900000000001</v>
      </c>
      <c r="L56" s="37">
        <f t="shared" ca="1" si="32"/>
        <v>165.28371438380276</v>
      </c>
      <c r="M56" s="37">
        <f t="shared" ca="1" si="32"/>
        <v>177.20165548330391</v>
      </c>
      <c r="N56" s="37">
        <f t="shared" ca="1" si="32"/>
        <v>189.91466686085565</v>
      </c>
      <c r="O56" s="37">
        <f t="shared" ca="1" si="32"/>
        <v>203.41214251921025</v>
      </c>
      <c r="P56" s="37">
        <f t="shared" ca="1" si="32"/>
        <v>217.49060364033386</v>
      </c>
      <c r="Q56" s="37">
        <f t="shared" ca="1" si="32"/>
        <v>232.09117560852755</v>
      </c>
      <c r="R56" s="37">
        <f t="shared" ca="1" si="32"/>
        <v>246.99245127002328</v>
      </c>
      <c r="S56" s="37">
        <f t="shared" ca="1" si="32"/>
        <v>262.68636638452193</v>
      </c>
      <c r="T56" s="37">
        <f t="shared" ca="1" si="32"/>
        <v>279.02606386649137</v>
      </c>
      <c r="U56" s="37">
        <f t="shared" ca="1" si="32"/>
        <v>296.16643149482542</v>
      </c>
    </row>
    <row r="57" spans="1:21" ht="15" x14ac:dyDescent="0.25">
      <c r="A57" s="26" t="s">
        <v>651</v>
      </c>
      <c r="B57" s="4" t="s">
        <v>719</v>
      </c>
      <c r="D57" s="5" t="str">
        <f ca="1">IF(ROUND('Fiscal Forecasts'!D$135-D$54,3)=0,"OK","ERROR")</f>
        <v>OK</v>
      </c>
      <c r="E57" s="5" t="str">
        <f ca="1">IF(ROUND('Fiscal Forecasts'!E$135-E$54,3)=0,"OK","ERROR")</f>
        <v>OK</v>
      </c>
      <c r="F57" s="5" t="str">
        <f ca="1">IF(ROUND('Fiscal Forecasts'!F$135-F$54,3)=0,"OK","ERROR")</f>
        <v>OK</v>
      </c>
      <c r="G57" s="5" t="str">
        <f ca="1">IF(ROUND('Fiscal Forecasts'!G$135-G$54 +IF($C$2="Yes",('Fiscal Forecast Adjuster'!C$29-'Fiscal Forecast Adjuster'!C$38)/1000,0) -IF($C$3="Yes",'NZS Fund Adjuster'!N$11,0),3)=0,"OK","ERROR")</f>
        <v>OK</v>
      </c>
      <c r="H57" s="5" t="str">
        <f ca="1">IF(ROUND('Fiscal Forecasts'!H$135-H$54 +IF($C$2="Yes",('Fiscal Forecast Adjuster'!D$29-'Fiscal Forecast Adjuster'!D$38)/1000,0) -IF($C$3="Yes",'NZS Fund Adjuster'!O$11,0),3)=0,"OK","ERROR")</f>
        <v>OK</v>
      </c>
      <c r="I57" s="5" t="str">
        <f ca="1">IF(ROUND('Fiscal Forecasts'!I$135-I$54 +IF($C$2="Yes",('Fiscal Forecast Adjuster'!E$29-'Fiscal Forecast Adjuster'!E$38)/1000,0) -IF($C$3="Yes",'NZS Fund Adjuster'!P$11,0),3)=0,"OK","ERROR")</f>
        <v>OK</v>
      </c>
      <c r="J57" s="5" t="str">
        <f ca="1">IF(ROUND('Fiscal Forecasts'!J$135-J$54 +IF($C$2="Yes",('Fiscal Forecast Adjuster'!F$29-'Fiscal Forecast Adjuster'!F$38)/1000,0) -IF($C$3="Yes",'NZS Fund Adjuster'!Q$11,0),3)=0,"OK","ERROR")</f>
        <v>OK</v>
      </c>
      <c r="K57" s="5" t="str">
        <f ca="1">IF(ROUND('Fiscal Forecasts'!K$135-K$54 +IF($C$2="Yes",('Fiscal Forecast Adjuster'!G$29-'Fiscal Forecast Adjuster'!G$38)/1000,0) -IF($C$3="Yes",'NZS Fund Adjuster'!R$11,0),3)=0,"OK","ERROR")</f>
        <v>OK</v>
      </c>
      <c r="L57" s="52"/>
      <c r="M57" s="52"/>
      <c r="N57" s="52"/>
      <c r="O57" s="52"/>
      <c r="P57" s="52"/>
      <c r="Q57" s="52"/>
      <c r="R57" s="52"/>
      <c r="S57" s="52"/>
      <c r="T57" s="52"/>
      <c r="U57" s="52"/>
    </row>
    <row r="58" spans="1:21" ht="15" x14ac:dyDescent="0.25">
      <c r="A58" s="26" t="s">
        <v>652</v>
      </c>
      <c r="B58" s="4" t="s">
        <v>288</v>
      </c>
      <c r="L58" s="5" t="str">
        <f t="shared" ref="L58:U58" ca="1" si="33">IF(ROUND(L$42-(L$54-K$54),3)=0,"OK","ERROR")</f>
        <v>OK</v>
      </c>
      <c r="M58" s="5" t="str">
        <f t="shared" ca="1" si="33"/>
        <v>OK</v>
      </c>
      <c r="N58" s="5" t="str">
        <f t="shared" ca="1" si="33"/>
        <v>OK</v>
      </c>
      <c r="O58" s="5" t="str">
        <f t="shared" ca="1" si="33"/>
        <v>OK</v>
      </c>
      <c r="P58" s="5" t="str">
        <f t="shared" ca="1" si="33"/>
        <v>OK</v>
      </c>
      <c r="Q58" s="5" t="str">
        <f t="shared" ca="1" si="33"/>
        <v>OK</v>
      </c>
      <c r="R58" s="5" t="str">
        <f t="shared" ca="1" si="33"/>
        <v>OK</v>
      </c>
      <c r="S58" s="5" t="str">
        <f t="shared" ca="1" si="33"/>
        <v>OK</v>
      </c>
      <c r="T58" s="5" t="str">
        <f t="shared" ca="1" si="33"/>
        <v>OK</v>
      </c>
      <c r="U58" s="5" t="str">
        <f t="shared" ca="1" si="33"/>
        <v>OK</v>
      </c>
    </row>
    <row r="59" spans="1:21" x14ac:dyDescent="0.2">
      <c r="A59" s="1" t="s">
        <v>265</v>
      </c>
      <c r="D59" s="14">
        <f ca="1">SUM(D$337,D$344,D$350,D$359,D$383,D$398,D$402,D$408,D$422,D$426,D$441,D$442,D$528)</f>
        <v>158.71300000000002</v>
      </c>
      <c r="E59" s="14">
        <f ca="1">SUM(E$337,E$344,E$350,E$359,E$383,E$398,E$402,E$408,E$422,E$426,E$441,E$442,E$528)</f>
        <v>165.17</v>
      </c>
      <c r="F59" s="14">
        <f ca="1">SUM(F$337,F$344,F$350,F$359,F$383,F$398,F$402,F$408,F$422,F$426,F$441,F$442,F$528)</f>
        <v>180.376</v>
      </c>
      <c r="G59" s="15">
        <f ca="1">SUM(G$337,G$344,G$350,G$359,G$383,G$398,G$402,G$408,G$422,G$426,G$441,G$442,G$528)</f>
        <v>189.26399999999998</v>
      </c>
      <c r="H59" s="15">
        <f t="shared" ref="H59:U59" ca="1" si="34">SUM(H$337,H$344,H$350,H$359,H$383,H$398,H$402,H$408,H$422,H$426,H$441,H$442,H$528)</f>
        <v>189.91299999999998</v>
      </c>
      <c r="I59" s="15">
        <f t="shared" ca="1" si="34"/>
        <v>200.50699999999998</v>
      </c>
      <c r="J59" s="15">
        <f t="shared" ca="1" si="34"/>
        <v>209.25200000000001</v>
      </c>
      <c r="K59" s="15">
        <f t="shared" ca="1" si="34"/>
        <v>225.893</v>
      </c>
      <c r="L59" s="6">
        <f t="shared" ca="1" si="34"/>
        <v>238.91446276733933</v>
      </c>
      <c r="M59" s="6">
        <f t="shared" ca="1" si="34"/>
        <v>254.40270839619365</v>
      </c>
      <c r="N59" s="6">
        <f t="shared" ca="1" si="34"/>
        <v>271.95839556744613</v>
      </c>
      <c r="O59" s="6">
        <f t="shared" ca="1" si="34"/>
        <v>291.55067270264544</v>
      </c>
      <c r="P59" s="6">
        <f t="shared" ca="1" si="34"/>
        <v>313.221021679692</v>
      </c>
      <c r="Q59" s="6">
        <f t="shared" ca="1" si="34"/>
        <v>335.79906275113979</v>
      </c>
      <c r="R59" s="6">
        <f t="shared" ca="1" si="34"/>
        <v>359.17449931651214</v>
      </c>
      <c r="S59" s="6">
        <f t="shared" ca="1" si="34"/>
        <v>383.42741729875848</v>
      </c>
      <c r="T59" s="6">
        <f t="shared" ca="1" si="34"/>
        <v>408.60540076462217</v>
      </c>
      <c r="U59" s="6">
        <f t="shared" ca="1" si="34"/>
        <v>434.74086536659064</v>
      </c>
    </row>
    <row r="60" spans="1:21" x14ac:dyDescent="0.2">
      <c r="A60" s="1" t="s">
        <v>655</v>
      </c>
      <c r="B60" s="4" t="str">
        <f>$B$37</f>
        <v>From Fiscal</v>
      </c>
      <c r="D60" s="14">
        <f>'Fiscal Forecasts'!D$178</f>
        <v>95.549000000000007</v>
      </c>
      <c r="E60" s="14">
        <f>'Fiscal Forecasts'!E$178</f>
        <v>95.036000000000001</v>
      </c>
      <c r="F60" s="14">
        <f>'Fiscal Forecasts'!F$178</f>
        <v>93.73</v>
      </c>
      <c r="G60" s="15">
        <f>'Fiscal Forecasts'!G$178 +IF($C$2="Yes",'Fiscal Forecast Adjuster'!C$38/1000,0) +IF($C$3="Yes",'NZS Fund Adjuster'!N$11,0)</f>
        <v>97.248999999999995</v>
      </c>
      <c r="H60" s="15">
        <f>'Fiscal Forecasts'!H$178 +IF($C$2="Yes",'Fiscal Forecast Adjuster'!D$38/1000,0) +IF($C$3="Yes",'NZS Fund Adjuster'!O$11,0)</f>
        <v>91.653999999999996</v>
      </c>
      <c r="I60" s="15">
        <f>'Fiscal Forecasts'!I$178 +IF($C$2="Yes",'Fiscal Forecast Adjuster'!E$38/1000,0) +IF($C$3="Yes",'NZS Fund Adjuster'!P$11,0)</f>
        <v>93.87</v>
      </c>
      <c r="J60" s="15">
        <f>'Fiscal Forecasts'!J$178 +IF($C$2="Yes",'Fiscal Forecast Adjuster'!F$38/1000,0) +IF($C$3="Yes",'NZS Fund Adjuster'!Q$11,0)</f>
        <v>92.787999999999997</v>
      </c>
      <c r="K60" s="15">
        <f>'Fiscal Forecasts'!K$178 +IF($C$2="Yes",'Fiscal Forecast Adjuster'!G$38/1000,0) +IF($C$3="Yes",'NZS Fund Adjuster'!R$11,0)</f>
        <v>97.887</v>
      </c>
      <c r="L60" s="6">
        <f t="shared" ref="L60:U60" ca="1" si="35">L$68</f>
        <v>98.505101808562415</v>
      </c>
      <c r="M60" s="6">
        <f t="shared" ca="1" si="35"/>
        <v>100.40256791655375</v>
      </c>
      <c r="N60" s="6">
        <f t="shared" ca="1" si="35"/>
        <v>103.46133282500915</v>
      </c>
      <c r="O60" s="6">
        <f t="shared" ca="1" si="35"/>
        <v>107.74906256694267</v>
      </c>
      <c r="P60" s="6">
        <f t="shared" ca="1" si="35"/>
        <v>113.37369012022697</v>
      </c>
      <c r="Q60" s="6">
        <f t="shared" ca="1" si="35"/>
        <v>119.37415249595799</v>
      </c>
      <c r="R60" s="6">
        <f t="shared" ca="1" si="35"/>
        <v>125.67225032355796</v>
      </c>
      <c r="S60" s="6">
        <f t="shared" ca="1" si="35"/>
        <v>132.09773531633957</v>
      </c>
      <c r="T60" s="6">
        <f t="shared" ca="1" si="35"/>
        <v>138.69503296990064</v>
      </c>
      <c r="U60" s="6">
        <f t="shared" ca="1" si="35"/>
        <v>145.50031460663308</v>
      </c>
    </row>
    <row r="61" spans="1:21" x14ac:dyDescent="0.2">
      <c r="A61" s="1" t="s">
        <v>1199</v>
      </c>
      <c r="D61" s="14">
        <f t="shared" ref="D61:U61" si="36">SUM(D$445,D$451,D$455,D$459,D$465,D$470)</f>
        <v>29.762</v>
      </c>
      <c r="E61" s="14">
        <f t="shared" si="36"/>
        <v>33.515000000000001</v>
      </c>
      <c r="F61" s="14">
        <f t="shared" si="36"/>
        <v>34.897999999999996</v>
      </c>
      <c r="G61" s="15">
        <f t="shared" si="36"/>
        <v>32.167999999999999</v>
      </c>
      <c r="H61" s="15">
        <f t="shared" si="36"/>
        <v>31.266999999999996</v>
      </c>
      <c r="I61" s="15">
        <f t="shared" si="36"/>
        <v>30.302</v>
      </c>
      <c r="J61" s="15">
        <f t="shared" si="36"/>
        <v>30.091000000000001</v>
      </c>
      <c r="K61" s="15">
        <f t="shared" si="36"/>
        <v>29.455000000000002</v>
      </c>
      <c r="L61" s="6">
        <f t="shared" ca="1" si="36"/>
        <v>30.174162033105752</v>
      </c>
      <c r="M61" s="6">
        <f t="shared" ca="1" si="36"/>
        <v>30.949034735351976</v>
      </c>
      <c r="N61" s="6">
        <f t="shared" ca="1" si="36"/>
        <v>31.734211991355757</v>
      </c>
      <c r="O61" s="6">
        <f t="shared" ca="1" si="36"/>
        <v>32.54918423531042</v>
      </c>
      <c r="P61" s="6">
        <f t="shared" ca="1" si="36"/>
        <v>33.394936637755407</v>
      </c>
      <c r="Q61" s="6">
        <f t="shared" ca="1" si="36"/>
        <v>34.265577317361569</v>
      </c>
      <c r="R61" s="6">
        <f t="shared" ca="1" si="36"/>
        <v>35.158691372143821</v>
      </c>
      <c r="S61" s="6">
        <f t="shared" ca="1" si="36"/>
        <v>36.079368320808861</v>
      </c>
      <c r="T61" s="6">
        <f t="shared" ca="1" si="36"/>
        <v>37.028096441138665</v>
      </c>
      <c r="U61" s="6">
        <f t="shared" ca="1" si="36"/>
        <v>38.009149491225394</v>
      </c>
    </row>
    <row r="62" spans="1:21" ht="15" x14ac:dyDescent="0.25">
      <c r="A62" s="2" t="s">
        <v>328</v>
      </c>
      <c r="B62" s="4"/>
      <c r="D62" s="34">
        <f ca="1">SUM(D$59,-D$60,-D$61)</f>
        <v>33.402000000000015</v>
      </c>
      <c r="E62" s="34">
        <f ca="1">SUM(E$59,-E$60,-E$61)</f>
        <v>36.618999999999986</v>
      </c>
      <c r="F62" s="34">
        <f ca="1">SUM(F$59,-F$60,-F$61)</f>
        <v>51.748000000000005</v>
      </c>
      <c r="G62" s="33">
        <f t="shared" ref="G62:U62" ca="1" si="37">SUM(G$59,-G$60,-G$61)</f>
        <v>59.846999999999987</v>
      </c>
      <c r="H62" s="33">
        <f t="shared" ca="1" si="37"/>
        <v>66.99199999999999</v>
      </c>
      <c r="I62" s="33">
        <f t="shared" ca="1" si="37"/>
        <v>76.33499999999998</v>
      </c>
      <c r="J62" s="33">
        <f t="shared" ca="1" si="37"/>
        <v>86.373000000000019</v>
      </c>
      <c r="K62" s="33">
        <f t="shared" ca="1" si="37"/>
        <v>98.551000000000002</v>
      </c>
      <c r="L62" s="37">
        <f t="shared" ca="1" si="37"/>
        <v>110.23519892567117</v>
      </c>
      <c r="M62" s="37">
        <f t="shared" ca="1" si="37"/>
        <v>123.05110574428792</v>
      </c>
      <c r="N62" s="37">
        <f t="shared" ca="1" si="37"/>
        <v>136.76285075108123</v>
      </c>
      <c r="O62" s="37">
        <f t="shared" ca="1" si="37"/>
        <v>151.25242590039238</v>
      </c>
      <c r="P62" s="37">
        <f t="shared" ca="1" si="37"/>
        <v>166.45239492170964</v>
      </c>
      <c r="Q62" s="37">
        <f t="shared" ca="1" si="37"/>
        <v>182.15933293782024</v>
      </c>
      <c r="R62" s="37">
        <f t="shared" ca="1" si="37"/>
        <v>198.34355762081037</v>
      </c>
      <c r="S62" s="37">
        <f t="shared" ca="1" si="37"/>
        <v>215.25031366161005</v>
      </c>
      <c r="T62" s="37">
        <f t="shared" ca="1" si="37"/>
        <v>232.88227135358287</v>
      </c>
      <c r="U62" s="37">
        <f t="shared" ca="1" si="37"/>
        <v>251.23140126873216</v>
      </c>
    </row>
    <row r="63" spans="1:21" ht="15" x14ac:dyDescent="0.25">
      <c r="A63" s="26" t="s">
        <v>329</v>
      </c>
      <c r="B63" s="4" t="str">
        <f>$B$57</f>
        <v>History &amp; Forecast only</v>
      </c>
      <c r="D63" s="5" t="str">
        <f ca="1">IF(ROUND('Fiscal Forecasts'!D$186-D$62,3)=0,"OK","ERROR")</f>
        <v>OK</v>
      </c>
      <c r="E63" s="5" t="str">
        <f ca="1">IF(ROUND('Fiscal Forecasts'!E$186-E$62,3)=0,"OK","ERROR")</f>
        <v>OK</v>
      </c>
      <c r="F63" s="5" t="str">
        <f ca="1">IF(ROUND('Fiscal Forecasts'!F$186-F$62,3)=0,"OK","ERROR")</f>
        <v>OK</v>
      </c>
      <c r="G63" s="5" t="str">
        <f ca="1">IF(ROUND('Fiscal Forecasts'!G$186-G$62 +IF($C$2="Yes",('Fiscal Forecast Adjuster'!C$29-'Fiscal Forecast Adjuster'!C$38)/1000,0) -IF($C$3="Yes",'NZS Fund Adjuster'!N$11,0),3)=0,"OK","ERROR")</f>
        <v>OK</v>
      </c>
      <c r="H63" s="5" t="str">
        <f ca="1">IF(ROUND('Fiscal Forecasts'!H$186-H$62 +IF($C$2="Yes",('Fiscal Forecast Adjuster'!D$29-'Fiscal Forecast Adjuster'!D$38)/1000,0) -IF($C$3="Yes",'NZS Fund Adjuster'!O$11,0),3)=0,"OK","ERROR")</f>
        <v>OK</v>
      </c>
      <c r="I63" s="5" t="str">
        <f ca="1">IF(ROUND('Fiscal Forecasts'!I$186-I$62 +IF($C$2="Yes",('Fiscal Forecast Adjuster'!E$29-'Fiscal Forecast Adjuster'!E$38)/1000,0) -IF($C$3="Yes",'NZS Fund Adjuster'!P$11,0),3)=0,"OK","ERROR")</f>
        <v>OK</v>
      </c>
      <c r="J63" s="5" t="str">
        <f ca="1">IF(ROUND('Fiscal Forecasts'!J$186-J$62 +IF($C$2="Yes",('Fiscal Forecast Adjuster'!F$29-'Fiscal Forecast Adjuster'!F$38)/1000,0) -IF($C$3="Yes",'NZS Fund Adjuster'!Q$11,0),3)=0,"OK","ERROR")</f>
        <v>OK</v>
      </c>
      <c r="K63" s="5" t="str">
        <f ca="1">IF(ROUND('Fiscal Forecasts'!K$186-K$62 +IF($C$2="Yes",('Fiscal Forecast Adjuster'!G$29-'Fiscal Forecast Adjuster'!G$38)/1000,0) -IF($C$3="Yes",'NZS Fund Adjuster'!R$11,0),3)=0,"OK","ERROR")</f>
        <v>OK</v>
      </c>
    </row>
    <row r="64" spans="1:21" ht="15" x14ac:dyDescent="0.25">
      <c r="A64" s="26" t="s">
        <v>330</v>
      </c>
      <c r="B64" s="4" t="str">
        <f>$B$58</f>
        <v>Projected Years only</v>
      </c>
      <c r="L64" s="5" t="str">
        <f t="shared" ref="L64:U64" ca="1" si="38">IF(ROUND(L$46-(L$62-K$62)-(K$68-K$60),3)=0,"OK","ERROR")</f>
        <v>OK</v>
      </c>
      <c r="M64" s="5" t="str">
        <f t="shared" ca="1" si="38"/>
        <v>OK</v>
      </c>
      <c r="N64" s="5" t="str">
        <f t="shared" ca="1" si="38"/>
        <v>OK</v>
      </c>
      <c r="O64" s="5" t="str">
        <f t="shared" ca="1" si="38"/>
        <v>OK</v>
      </c>
      <c r="P64" s="5" t="str">
        <f t="shared" ca="1" si="38"/>
        <v>OK</v>
      </c>
      <c r="Q64" s="5" t="str">
        <f t="shared" ca="1" si="38"/>
        <v>OK</v>
      </c>
      <c r="R64" s="5" t="str">
        <f t="shared" ca="1" si="38"/>
        <v>OK</v>
      </c>
      <c r="S64" s="5" t="str">
        <f t="shared" ca="1" si="38"/>
        <v>OK</v>
      </c>
      <c r="T64" s="5" t="str">
        <f t="shared" ca="1" si="38"/>
        <v>OK</v>
      </c>
      <c r="U64" s="5" t="str">
        <f t="shared" ca="1" si="38"/>
        <v>OK</v>
      </c>
    </row>
    <row r="65" spans="1:21" ht="15" x14ac:dyDescent="0.25">
      <c r="A65" s="26"/>
      <c r="B65" s="4"/>
      <c r="L65" s="5"/>
      <c r="M65" s="5"/>
      <c r="N65" s="5"/>
      <c r="O65" s="5"/>
      <c r="P65" s="5"/>
      <c r="Q65" s="5"/>
      <c r="R65" s="5"/>
      <c r="S65" s="5"/>
      <c r="T65" s="5"/>
      <c r="U65" s="5"/>
    </row>
    <row r="66" spans="1:21" x14ac:dyDescent="0.2">
      <c r="A66" s="18" t="s">
        <v>236</v>
      </c>
    </row>
    <row r="67" spans="1:21" x14ac:dyDescent="0.2">
      <c r="A67" s="1" t="s">
        <v>286</v>
      </c>
      <c r="B67" s="4"/>
      <c r="D67" s="14">
        <f>D$534</f>
        <v>112.58</v>
      </c>
      <c r="E67" s="14">
        <f t="shared" ref="E67:U67" si="39">E$534</f>
        <v>113.956</v>
      </c>
      <c r="F67" s="14">
        <f t="shared" si="39"/>
        <v>111.806</v>
      </c>
      <c r="G67" s="15">
        <f t="shared" si="39"/>
        <v>115.97799999999999</v>
      </c>
      <c r="H67" s="15">
        <f t="shared" si="39"/>
        <v>112.89</v>
      </c>
      <c r="I67" s="15">
        <f t="shared" si="39"/>
        <v>117.176</v>
      </c>
      <c r="J67" s="15">
        <f t="shared" si="39"/>
        <v>118.173</v>
      </c>
      <c r="K67" s="15">
        <f t="shared" si="39"/>
        <v>125.399</v>
      </c>
      <c r="L67" s="6">
        <f t="shared" ca="1" si="39"/>
        <v>125.81344376421633</v>
      </c>
      <c r="M67" s="6">
        <f t="shared" ca="1" si="39"/>
        <v>129.20730257883037</v>
      </c>
      <c r="N67" s="6">
        <f t="shared" ca="1" si="39"/>
        <v>133.80972847792631</v>
      </c>
      <c r="O67" s="6">
        <f t="shared" ca="1" si="39"/>
        <v>139.65922349759953</v>
      </c>
      <c r="P67" s="6">
        <f t="shared" ca="1" si="39"/>
        <v>146.93661609754787</v>
      </c>
      <c r="Q67" s="6">
        <f t="shared" ca="1" si="39"/>
        <v>154.64832835312424</v>
      </c>
      <c r="R67" s="6">
        <f t="shared" ca="1" si="39"/>
        <v>162.82196366348731</v>
      </c>
      <c r="S67" s="6">
        <f t="shared" ca="1" si="39"/>
        <v>171.08746371468635</v>
      </c>
      <c r="T67" s="6">
        <f t="shared" ca="1" si="39"/>
        <v>179.54673750740099</v>
      </c>
      <c r="U67" s="6">
        <f t="shared" ca="1" si="39"/>
        <v>188.18035109134939</v>
      </c>
    </row>
    <row r="68" spans="1:21" x14ac:dyDescent="0.2">
      <c r="A68" s="1" t="s">
        <v>331</v>
      </c>
      <c r="B68" s="4"/>
      <c r="D68" s="14">
        <f t="shared" ref="D68:I68" si="40">D$527</f>
        <v>95.649000000000001</v>
      </c>
      <c r="E68" s="14">
        <f t="shared" si="40"/>
        <v>95.037000000000006</v>
      </c>
      <c r="F68" s="14">
        <f t="shared" si="40"/>
        <v>94.106999999999999</v>
      </c>
      <c r="G68" s="15">
        <f t="shared" si="40"/>
        <v>97.248000000000005</v>
      </c>
      <c r="H68" s="15">
        <f t="shared" si="40"/>
        <v>91.655000000000001</v>
      </c>
      <c r="I68" s="15">
        <f t="shared" si="40"/>
        <v>93.869</v>
      </c>
      <c r="J68" s="15">
        <f>J$527</f>
        <v>92.787999999999997</v>
      </c>
      <c r="K68" s="15">
        <f>K$527</f>
        <v>97.885000000000005</v>
      </c>
      <c r="L68" s="6">
        <f t="shared" ref="L68:U68" ca="1" si="41">L$527</f>
        <v>98.505101808562415</v>
      </c>
      <c r="M68" s="6">
        <f t="shared" ca="1" si="41"/>
        <v>100.40256791655375</v>
      </c>
      <c r="N68" s="6">
        <f t="shared" ca="1" si="41"/>
        <v>103.46133282500915</v>
      </c>
      <c r="O68" s="6">
        <f t="shared" ca="1" si="41"/>
        <v>107.74906256694267</v>
      </c>
      <c r="P68" s="6">
        <f t="shared" ca="1" si="41"/>
        <v>113.37369012022697</v>
      </c>
      <c r="Q68" s="6">
        <f t="shared" ca="1" si="41"/>
        <v>119.37415249595799</v>
      </c>
      <c r="R68" s="6">
        <f t="shared" ca="1" si="41"/>
        <v>125.67225032355796</v>
      </c>
      <c r="S68" s="6">
        <f t="shared" ca="1" si="41"/>
        <v>132.09773531633957</v>
      </c>
      <c r="T68" s="6">
        <f t="shared" ca="1" si="41"/>
        <v>138.69503296990064</v>
      </c>
      <c r="U68" s="6">
        <f t="shared" ca="1" si="41"/>
        <v>145.50031460663308</v>
      </c>
    </row>
    <row r="69" spans="1:21" x14ac:dyDescent="0.2">
      <c r="A69" s="1" t="s">
        <v>682</v>
      </c>
      <c r="B69" s="4" t="str">
        <f>$B$37</f>
        <v>From Fiscal</v>
      </c>
      <c r="D69" s="14">
        <f>'Fiscal Forecasts'!D$140</f>
        <v>2.4929999999999999</v>
      </c>
      <c r="E69" s="14">
        <f>'Fiscal Forecasts'!E$140</f>
        <v>1.754</v>
      </c>
      <c r="F69" s="14">
        <f>'Fiscal Forecasts'!F$140</f>
        <v>1.4870000000000001</v>
      </c>
      <c r="G69" s="15">
        <f>'Fiscal Forecasts'!G$140</f>
        <v>2.2629999999999999</v>
      </c>
      <c r="H69" s="15">
        <f>'Fiscal Forecasts'!H$140</f>
        <v>2.2839999999999998</v>
      </c>
      <c r="I69" s="15">
        <f>'Fiscal Forecasts'!I$140</f>
        <v>2.2959999999999998</v>
      </c>
      <c r="J69" s="15">
        <f>'Fiscal Forecasts'!J$140</f>
        <v>2.298</v>
      </c>
      <c r="K69" s="15">
        <f>'Fiscal Forecasts'!K$140</f>
        <v>2.3010000000000002</v>
      </c>
      <c r="L69" s="6">
        <f ca="1">OFFSET(Assumptions!$B$77,0,$C$1)*K$348</f>
        <v>2.5011810000000003</v>
      </c>
      <c r="M69" s="6">
        <f ca="1">OFFSET(Assumptions!$B$77,0,$C$1)*L$348</f>
        <v>2.7744482138069069</v>
      </c>
      <c r="N69" s="6">
        <f ca="1">OFFSET(Assumptions!$B$77,0,$C$1)*M$348</f>
        <v>3.0376388498566005</v>
      </c>
      <c r="O69" s="6">
        <f ca="1">OFFSET(Assumptions!$B$77,0,$C$1)*N$348</f>
        <v>3.3113700326199251</v>
      </c>
      <c r="P69" s="6">
        <f ca="1">OFFSET(Assumptions!$B$77,0,$C$1)*O$348</f>
        <v>3.5953829813819511</v>
      </c>
      <c r="Q69" s="6">
        <f ca="1">OFFSET(Assumptions!$B$77,0,$C$1)*P$348</f>
        <v>3.8895980698167842</v>
      </c>
      <c r="R69" s="6">
        <f ca="1">OFFSET(Assumptions!$B$77,0,$C$1)*Q$348</f>
        <v>4.189446176019918</v>
      </c>
      <c r="S69" s="6">
        <f ca="1">OFFSET(Assumptions!$B$77,0,$C$1)*R$348</f>
        <v>4.4949927560674139</v>
      </c>
      <c r="T69" s="6">
        <f ca="1">OFFSET(Assumptions!$B$77,0,$C$1)*S$348</f>
        <v>4.8083069943226215</v>
      </c>
      <c r="U69" s="6">
        <f ca="1">OFFSET(Assumptions!$B$77,0,$C$1)*T$348</f>
        <v>5.1301753492291535</v>
      </c>
    </row>
    <row r="70" spans="1:21" ht="15" x14ac:dyDescent="0.25">
      <c r="A70" s="2" t="s">
        <v>332</v>
      </c>
      <c r="D70" s="34">
        <f>SUM(D$68,-D$69)</f>
        <v>93.156000000000006</v>
      </c>
      <c r="E70" s="34">
        <f>SUM(E$68,-E$69)</f>
        <v>93.283000000000001</v>
      </c>
      <c r="F70" s="34">
        <f>SUM(F$68,-F$69)</f>
        <v>92.62</v>
      </c>
      <c r="G70" s="33">
        <f t="shared" ref="G70:U70" si="42">SUM(G$68,-G$69)</f>
        <v>94.984999999999999</v>
      </c>
      <c r="H70" s="33">
        <f t="shared" si="42"/>
        <v>89.370999999999995</v>
      </c>
      <c r="I70" s="33">
        <f t="shared" si="42"/>
        <v>91.572999999999993</v>
      </c>
      <c r="J70" s="33">
        <f t="shared" si="42"/>
        <v>90.49</v>
      </c>
      <c r="K70" s="33">
        <f t="shared" si="42"/>
        <v>95.584000000000003</v>
      </c>
      <c r="L70" s="37">
        <f t="shared" ca="1" si="42"/>
        <v>96.003920808562413</v>
      </c>
      <c r="M70" s="37">
        <f t="shared" ca="1" si="42"/>
        <v>97.628119702746844</v>
      </c>
      <c r="N70" s="37">
        <f t="shared" ca="1" si="42"/>
        <v>100.42369397515255</v>
      </c>
      <c r="O70" s="37">
        <f t="shared" ca="1" si="42"/>
        <v>104.43769253432275</v>
      </c>
      <c r="P70" s="37">
        <f t="shared" ca="1" si="42"/>
        <v>109.77830713884502</v>
      </c>
      <c r="Q70" s="37">
        <f t="shared" ca="1" si="42"/>
        <v>115.4845544261412</v>
      </c>
      <c r="R70" s="37">
        <f t="shared" ca="1" si="42"/>
        <v>121.48280414753805</v>
      </c>
      <c r="S70" s="37">
        <f t="shared" ca="1" si="42"/>
        <v>127.60274256027215</v>
      </c>
      <c r="T70" s="37">
        <f t="shared" ca="1" si="42"/>
        <v>133.886725975578</v>
      </c>
      <c r="U70" s="37">
        <f t="shared" ca="1" si="42"/>
        <v>140.37013925740393</v>
      </c>
    </row>
    <row r="71" spans="1:21" x14ac:dyDescent="0.2">
      <c r="A71" s="1" t="s">
        <v>333</v>
      </c>
      <c r="B71" s="4" t="str">
        <f>$B$37</f>
        <v>From Fiscal</v>
      </c>
      <c r="D71" s="14">
        <f>SUM('Fiscal Forecasts'!D$142,D$528)</f>
        <v>76.433999999999997</v>
      </c>
      <c r="E71" s="14">
        <f>SUM('Fiscal Forecasts'!E$142,E$528)</f>
        <v>75.793000000000006</v>
      </c>
      <c r="F71" s="14">
        <f>SUM('Fiscal Forecasts'!F$142,F$528)</f>
        <v>81.015000000000001</v>
      </c>
      <c r="G71" s="15">
        <f>SUM('Fiscal Forecasts'!G$142,G$528)</f>
        <v>85.569000000000003</v>
      </c>
      <c r="H71" s="15">
        <f>SUM('Fiscal Forecasts'!H$142,H$528)</f>
        <v>79.453000000000003</v>
      </c>
      <c r="I71" s="15">
        <f>SUM('Fiscal Forecasts'!I$142,I$528)</f>
        <v>84.509</v>
      </c>
      <c r="J71" s="15">
        <f>SUM('Fiscal Forecasts'!J$142,J$528)</f>
        <v>87.221999999999994</v>
      </c>
      <c r="K71" s="15">
        <f>SUM('Fiscal Forecasts'!K$142,K$528)</f>
        <v>99.129000000000005</v>
      </c>
      <c r="L71" s="6">
        <f t="shared" ref="L71:U71" ca="1" si="43">SUM(L$337,L$350,L$359,L$383,L$528)</f>
        <v>104.06567460867129</v>
      </c>
      <c r="M71" s="6">
        <f t="shared" ca="1" si="43"/>
        <v>110.83396507246623</v>
      </c>
      <c r="N71" s="6">
        <f t="shared" ca="1" si="43"/>
        <v>117.98477708583002</v>
      </c>
      <c r="O71" s="6">
        <f t="shared" ca="1" si="43"/>
        <v>125.5301024249777</v>
      </c>
      <c r="P71" s="6">
        <f t="shared" ca="1" si="43"/>
        <v>133.49888679384321</v>
      </c>
      <c r="Q71" s="6">
        <f t="shared" ca="1" si="43"/>
        <v>141.80357708530312</v>
      </c>
      <c r="R71" s="6">
        <f t="shared" ca="1" si="43"/>
        <v>150.30286875595297</v>
      </c>
      <c r="S71" s="6">
        <f t="shared" ca="1" si="43"/>
        <v>159.04585697876431</v>
      </c>
      <c r="T71" s="6">
        <f t="shared" ca="1" si="43"/>
        <v>168.05202479220873</v>
      </c>
      <c r="U71" s="6">
        <f t="shared" ca="1" si="43"/>
        <v>177.32482122716152</v>
      </c>
    </row>
    <row r="72" spans="1:21" ht="15" x14ac:dyDescent="0.25">
      <c r="A72" s="2" t="s">
        <v>241</v>
      </c>
      <c r="D72" s="34">
        <f>SUM(D$70,-D$71)</f>
        <v>16.722000000000008</v>
      </c>
      <c r="E72" s="34">
        <f>SUM(E$70,-E$71)</f>
        <v>17.489999999999995</v>
      </c>
      <c r="F72" s="34">
        <f>SUM(F$70,-F$71)</f>
        <v>11.605000000000004</v>
      </c>
      <c r="G72" s="33">
        <f t="shared" ref="G72:U72" si="44">SUM(G$70,-G$71)</f>
        <v>9.4159999999999968</v>
      </c>
      <c r="H72" s="33">
        <f t="shared" si="44"/>
        <v>9.9179999999999922</v>
      </c>
      <c r="I72" s="33">
        <f t="shared" si="44"/>
        <v>7.063999999999993</v>
      </c>
      <c r="J72" s="33">
        <f t="shared" si="44"/>
        <v>3.2680000000000007</v>
      </c>
      <c r="K72" s="33">
        <f t="shared" si="44"/>
        <v>-3.5450000000000017</v>
      </c>
      <c r="L72" s="37">
        <f t="shared" ca="1" si="44"/>
        <v>-8.0617538001088747</v>
      </c>
      <c r="M72" s="37">
        <f t="shared" ca="1" si="44"/>
        <v>-13.205845369719384</v>
      </c>
      <c r="N72" s="37">
        <f t="shared" ca="1" si="44"/>
        <v>-17.561083110677473</v>
      </c>
      <c r="O72" s="37">
        <f t="shared" ca="1" si="44"/>
        <v>-21.092409890654949</v>
      </c>
      <c r="P72" s="37">
        <f t="shared" ca="1" si="44"/>
        <v>-23.72057965499819</v>
      </c>
      <c r="Q72" s="37">
        <f t="shared" ca="1" si="44"/>
        <v>-26.319022659161917</v>
      </c>
      <c r="R72" s="37">
        <f t="shared" ca="1" si="44"/>
        <v>-28.820064608414924</v>
      </c>
      <c r="S72" s="37">
        <f t="shared" ca="1" si="44"/>
        <v>-31.443114418492158</v>
      </c>
      <c r="T72" s="37">
        <f t="shared" ca="1" si="44"/>
        <v>-34.165298816630724</v>
      </c>
      <c r="U72" s="37">
        <f t="shared" ca="1" si="44"/>
        <v>-36.954681969757587</v>
      </c>
    </row>
    <row r="73" spans="1:21" x14ac:dyDescent="0.2">
      <c r="A73" s="1" t="s">
        <v>334</v>
      </c>
      <c r="B73" s="4" t="str">
        <f>$B$37</f>
        <v>From Fiscal</v>
      </c>
      <c r="D73" s="14">
        <f>'Fiscal Forecasts'!D$144</f>
        <v>14.14</v>
      </c>
      <c r="E73" s="14">
        <f>'Fiscal Forecasts'!E$144</f>
        <v>14.612</v>
      </c>
      <c r="F73" s="14">
        <f>'Fiscal Forecasts'!F$144</f>
        <v>12.013999999999999</v>
      </c>
      <c r="G73" s="15">
        <f>'Fiscal Forecasts'!G$144</f>
        <v>11.943</v>
      </c>
      <c r="H73" s="15">
        <f>'Fiscal Forecasts'!H$144</f>
        <v>11.984</v>
      </c>
      <c r="I73" s="15">
        <f>'Fiscal Forecasts'!I$144</f>
        <v>11.951000000000001</v>
      </c>
      <c r="J73" s="15">
        <f>'Fiscal Forecasts'!J$144</f>
        <v>11.811</v>
      </c>
      <c r="K73" s="15">
        <f>'Fiscal Forecasts'!K$144</f>
        <v>11.566000000000001</v>
      </c>
      <c r="L73" s="6">
        <f t="shared" ref="L73:U73" ca="1" si="45">SUM(L$381,L$382)</f>
        <v>11.473679291603187</v>
      </c>
      <c r="M73" s="6">
        <f t="shared" ca="1" si="45"/>
        <v>11.414493153471376</v>
      </c>
      <c r="N73" s="6">
        <f t="shared" ca="1" si="45"/>
        <v>11.380764508095199</v>
      </c>
      <c r="O73" s="6">
        <f t="shared" ca="1" si="45"/>
        <v>11.368822384270977</v>
      </c>
      <c r="P73" s="6">
        <f t="shared" ca="1" si="45"/>
        <v>11.38074438316012</v>
      </c>
      <c r="Q73" s="6">
        <f t="shared" ca="1" si="45"/>
        <v>11.413431902768156</v>
      </c>
      <c r="R73" s="6">
        <f t="shared" ca="1" si="45"/>
        <v>11.465444677613984</v>
      </c>
      <c r="S73" s="6">
        <f t="shared" ca="1" si="45"/>
        <v>11.534300967150182</v>
      </c>
      <c r="T73" s="6">
        <f t="shared" ca="1" si="45"/>
        <v>11.620164436835946</v>
      </c>
      <c r="U73" s="6">
        <f t="shared" ca="1" si="45"/>
        <v>11.717596941036831</v>
      </c>
    </row>
    <row r="74" spans="1:21" x14ac:dyDescent="0.2">
      <c r="A74" s="1" t="s">
        <v>335</v>
      </c>
      <c r="B74" s="4" t="str">
        <f>$B$37</f>
        <v>From Fiscal</v>
      </c>
      <c r="D74" s="14">
        <f>'Fiscal Forecasts'!D$145</f>
        <v>29.768999999999998</v>
      </c>
      <c r="E74" s="14">
        <f>'Fiscal Forecasts'!E$145</f>
        <v>29.777999999999999</v>
      </c>
      <c r="F74" s="14">
        <f>'Fiscal Forecasts'!F$145</f>
        <v>35.860999999999997</v>
      </c>
      <c r="G74" s="15">
        <f>'Fiscal Forecasts'!G$145</f>
        <v>39.049999999999997</v>
      </c>
      <c r="H74" s="15">
        <f>'Fiscal Forecasts'!H$145</f>
        <v>42.302</v>
      </c>
      <c r="I74" s="15">
        <f>'Fiscal Forecasts'!I$145</f>
        <v>46.85</v>
      </c>
      <c r="J74" s="15">
        <f>'Fiscal Forecasts'!J$145</f>
        <v>52.527999999999999</v>
      </c>
      <c r="K74" s="15">
        <f>'Fiscal Forecasts'!K$145</f>
        <v>58.936</v>
      </c>
      <c r="L74" s="6">
        <f t="shared" ref="L74:U74" ca="1" si="46">SUM(L$335,L$348,L$357,L$380)</f>
        <v>63.231610454203924</v>
      </c>
      <c r="M74" s="6">
        <f t="shared" ca="1" si="46"/>
        <v>69.229908671150426</v>
      </c>
      <c r="N74" s="6">
        <f t="shared" ca="1" si="46"/>
        <v>75.4684333015704</v>
      </c>
      <c r="O74" s="6">
        <f t="shared" ca="1" si="46"/>
        <v>81.941286552425865</v>
      </c>
      <c r="P74" s="6">
        <f t="shared" ca="1" si="46"/>
        <v>88.64665368419648</v>
      </c>
      <c r="Q74" s="6">
        <f t="shared" ca="1" si="46"/>
        <v>95.480401220919063</v>
      </c>
      <c r="R74" s="6">
        <f t="shared" ca="1" si="46"/>
        <v>102.4440209522341</v>
      </c>
      <c r="S74" s="6">
        <f t="shared" ca="1" si="46"/>
        <v>109.58467103339929</v>
      </c>
      <c r="T74" s="6">
        <f t="shared" ca="1" si="46"/>
        <v>116.92027540103652</v>
      </c>
      <c r="U74" s="6">
        <f t="shared" ca="1" si="46"/>
        <v>124.45493077659087</v>
      </c>
    </row>
    <row r="75" spans="1:21" ht="15" x14ac:dyDescent="0.25">
      <c r="A75" s="2" t="s">
        <v>336</v>
      </c>
      <c r="D75" s="34">
        <f t="shared" ref="D75:U75" si="47">SUM(D$72:D$74)</f>
        <v>60.631000000000007</v>
      </c>
      <c r="E75" s="34">
        <f t="shared" si="47"/>
        <v>61.879999999999995</v>
      </c>
      <c r="F75" s="34">
        <f t="shared" si="47"/>
        <v>59.480000000000004</v>
      </c>
      <c r="G75" s="33">
        <f t="shared" si="47"/>
        <v>60.408999999999992</v>
      </c>
      <c r="H75" s="33">
        <f t="shared" si="47"/>
        <v>64.203999999999994</v>
      </c>
      <c r="I75" s="33">
        <f t="shared" si="47"/>
        <v>65.864999999999995</v>
      </c>
      <c r="J75" s="33">
        <f t="shared" si="47"/>
        <v>67.606999999999999</v>
      </c>
      <c r="K75" s="33">
        <f t="shared" si="47"/>
        <v>66.956999999999994</v>
      </c>
      <c r="L75" s="37">
        <f t="shared" ca="1" si="47"/>
        <v>66.643535945698233</v>
      </c>
      <c r="M75" s="37">
        <f t="shared" ca="1" si="47"/>
        <v>67.438556454902425</v>
      </c>
      <c r="N75" s="37">
        <f t="shared" ca="1" si="47"/>
        <v>69.288114698988124</v>
      </c>
      <c r="O75" s="37">
        <f t="shared" ca="1" si="47"/>
        <v>72.217699046041901</v>
      </c>
      <c r="P75" s="37">
        <f t="shared" ca="1" si="47"/>
        <v>76.30681841235841</v>
      </c>
      <c r="Q75" s="37">
        <f t="shared" ca="1" si="47"/>
        <v>80.574810464525299</v>
      </c>
      <c r="R75" s="37">
        <f t="shared" ca="1" si="47"/>
        <v>85.089401021433162</v>
      </c>
      <c r="S75" s="37">
        <f t="shared" ca="1" si="47"/>
        <v>89.675857582057318</v>
      </c>
      <c r="T75" s="37">
        <f t="shared" ca="1" si="47"/>
        <v>94.375141021241745</v>
      </c>
      <c r="U75" s="37">
        <f t="shared" ca="1" si="47"/>
        <v>99.217845747870115</v>
      </c>
    </row>
    <row r="76" spans="1:21" ht="15" x14ac:dyDescent="0.25">
      <c r="A76" s="26" t="s">
        <v>1197</v>
      </c>
      <c r="B76" s="4" t="str">
        <f>$B$57</f>
        <v>History &amp; Forecast only</v>
      </c>
      <c r="D76" s="5" t="str">
        <f>IF(ROUND('Fiscal Forecasts'!D$146-D$75,3)=0,"OK","ERROR")</f>
        <v>OK</v>
      </c>
      <c r="E76" s="5" t="str">
        <f>IF(ROUND('Fiscal Forecasts'!E$146-E$75,3)=0,"OK","ERROR")</f>
        <v>OK</v>
      </c>
      <c r="F76" s="5" t="str">
        <f>IF(ROUND('Fiscal Forecasts'!F$146-F$75,3)=0,"OK","ERROR")</f>
        <v>OK</v>
      </c>
      <c r="G76" s="5" t="str">
        <f>IF(ROUND('Fiscal Forecasts'!G$146-G$75 +IF($C$2="Yes",'Fiscal Forecast Adjuster'!C$38/1000,0) +IF($C$3="Yes",'NZS Fund Adjuster'!N$11,0),3)=0,"OK","ERROR")</f>
        <v>OK</v>
      </c>
      <c r="H76" s="5" t="str">
        <f>IF(ROUND('Fiscal Forecasts'!H$146-H$75 +IF($C$2="Yes",'Fiscal Forecast Adjuster'!D$38/1000,0) +IF($C$3="Yes",'NZS Fund Adjuster'!O$11,0),3)=0,"OK","ERROR")</f>
        <v>OK</v>
      </c>
      <c r="I76" s="5" t="str">
        <f>IF(ROUND('Fiscal Forecasts'!I$146-I$75 +IF($C$2="Yes",'Fiscal Forecast Adjuster'!E$38/1000,0) +IF($C$3="Yes",'NZS Fund Adjuster'!P$11,0),3)=0,"OK","ERROR")</f>
        <v>OK</v>
      </c>
      <c r="J76" s="5" t="str">
        <f>IF(ROUND('Fiscal Forecasts'!J$146-J$75 +IF($C$2="Yes",'Fiscal Forecast Adjuster'!F$38/1000,0) +IF($C$3="Yes",'NZS Fund Adjuster'!Q$11,0),3)=0,"OK","ERROR")</f>
        <v>OK</v>
      </c>
      <c r="K76" s="5" t="str">
        <f>IF(ROUND('Fiscal Forecasts'!K$146-K$75 +IF($C$2="Yes",'Fiscal Forecast Adjuster'!G$38/1000,0) +IF($C$3="Yes",'NZS Fund Adjuster'!R$11,0),3)=0,"OK","ERROR")</f>
        <v>OK</v>
      </c>
    </row>
    <row r="77" spans="1:21" ht="15" x14ac:dyDescent="0.25">
      <c r="A77" s="26"/>
      <c r="B77" s="4"/>
      <c r="D77" s="5"/>
      <c r="E77" s="5"/>
      <c r="F77" s="5"/>
      <c r="G77" s="5"/>
      <c r="H77" s="5"/>
      <c r="I77" s="5"/>
      <c r="J77" s="5"/>
      <c r="K77" s="5"/>
    </row>
    <row r="78" spans="1:21" x14ac:dyDescent="0.2">
      <c r="A78" s="18" t="s">
        <v>174</v>
      </c>
    </row>
    <row r="79" spans="1:21" x14ac:dyDescent="0.2">
      <c r="A79" s="1" t="s">
        <v>175</v>
      </c>
      <c r="B79" s="4" t="str">
        <f>$B$37</f>
        <v>From Fiscal</v>
      </c>
      <c r="D79" s="14">
        <f>'Fiscal Forecasts'!D$69</f>
        <v>64.944999999999993</v>
      </c>
      <c r="E79" s="14">
        <f>'Fiscal Forecasts'!E$69</f>
        <v>69.027000000000001</v>
      </c>
      <c r="F79" s="14">
        <f>'Fiscal Forecasts'!F$69</f>
        <v>73.099000000000004</v>
      </c>
      <c r="G79" s="15">
        <f>'Fiscal Forecasts'!G$69 +IF($C$2="Yes",SUM('Fiscal Forecast Adjuster'!C$8:C$12)/1000,0)</f>
        <v>77.944999999999993</v>
      </c>
      <c r="H79" s="15">
        <f>'Fiscal Forecasts'!H$69 +IF($C$2="Yes",SUM('Fiscal Forecast Adjuster'!D$8:D$12)/1000,0)</f>
        <v>81.962999999999994</v>
      </c>
      <c r="I79" s="15">
        <f>'Fiscal Forecasts'!I$69 +IF($C$2="Yes",SUM('Fiscal Forecast Adjuster'!E$8:E$12)/1000,0)</f>
        <v>86.983000000000004</v>
      </c>
      <c r="J79" s="15">
        <f>'Fiscal Forecasts'!J$69 +IF($C$2="Yes",SUM('Fiscal Forecast Adjuster'!F$8:F$12)/1000,0)</f>
        <v>91.72</v>
      </c>
      <c r="K79" s="15">
        <f>'Fiscal Forecasts'!K$69 +IF($C$2="Yes",SUM('Fiscal Forecast Adjuster'!G$8:G$12)/1000,0)</f>
        <v>96.74</v>
      </c>
      <c r="L79" s="6">
        <f t="shared" ref="L79:U79" ca="1" si="48">SUM(L$474-L$367,L$131)</f>
        <v>101.10584474501981</v>
      </c>
      <c r="M79" s="6">
        <f t="shared" ca="1" si="48"/>
        <v>106.02200907425737</v>
      </c>
      <c r="N79" s="6">
        <f t="shared" ca="1" si="48"/>
        <v>110.78722733234981</v>
      </c>
      <c r="O79" s="6">
        <f t="shared" ca="1" si="48"/>
        <v>115.64182129070342</v>
      </c>
      <c r="P79" s="6">
        <f t="shared" ca="1" si="48"/>
        <v>120.65773706543874</v>
      </c>
      <c r="Q79" s="6">
        <f t="shared" ca="1" si="48"/>
        <v>125.84617263843805</v>
      </c>
      <c r="R79" s="6">
        <f t="shared" ca="1" si="48"/>
        <v>131.1996858423432</v>
      </c>
      <c r="S79" s="6">
        <f t="shared" ca="1" si="48"/>
        <v>136.73204206750353</v>
      </c>
      <c r="T79" s="6">
        <f t="shared" ca="1" si="48"/>
        <v>142.44926498677788</v>
      </c>
      <c r="U79" s="6">
        <f t="shared" ca="1" si="48"/>
        <v>148.36759278348177</v>
      </c>
    </row>
    <row r="80" spans="1:21" x14ac:dyDescent="0.2">
      <c r="A80" s="1" t="s">
        <v>176</v>
      </c>
      <c r="B80" s="4" t="str">
        <f t="shared" ref="B80:B86" si="49">$B$37</f>
        <v>From Fiscal</v>
      </c>
      <c r="D80" s="14">
        <f>'Fiscal Forecasts'!D$70</f>
        <v>4.7309999999999999</v>
      </c>
      <c r="E80" s="14">
        <f>'Fiscal Forecasts'!E$70</f>
        <v>4.6849999999999996</v>
      </c>
      <c r="F80" s="14">
        <f>'Fiscal Forecasts'!F$70</f>
        <v>4.5149999999999997</v>
      </c>
      <c r="G80" s="15">
        <f>'Fiscal Forecasts'!G$70</f>
        <v>4.5350000000000001</v>
      </c>
      <c r="H80" s="15">
        <f>'Fiscal Forecasts'!H$70</f>
        <v>4.71</v>
      </c>
      <c r="I80" s="15">
        <f>'Fiscal Forecasts'!I$70</f>
        <v>5.1559999999999997</v>
      </c>
      <c r="J80" s="15">
        <f>'Fiscal Forecasts'!J$70</f>
        <v>5.3890000000000002</v>
      </c>
      <c r="K80" s="15">
        <f>'Fiscal Forecasts'!K$70</f>
        <v>5.6870000000000003</v>
      </c>
      <c r="L80" s="6">
        <f ca="1">SUM(L$136,L$138,L$139)</f>
        <v>6.0129764525975222</v>
      </c>
      <c r="M80" s="6">
        <f t="shared" ref="M80:U80" ca="1" si="50">SUM(M$136,M$138,M$139)</f>
        <v>6.3892558717526668</v>
      </c>
      <c r="N80" s="6">
        <f t="shared" ca="1" si="50"/>
        <v>6.6292350771165198</v>
      </c>
      <c r="O80" s="6">
        <f t="shared" ca="1" si="50"/>
        <v>6.9965720586025064</v>
      </c>
      <c r="P80" s="6">
        <f t="shared" ca="1" si="50"/>
        <v>7.260475652261718</v>
      </c>
      <c r="Q80" s="6">
        <f t="shared" ca="1" si="50"/>
        <v>7.6809381674116501</v>
      </c>
      <c r="R80" s="6">
        <f t="shared" ca="1" si="50"/>
        <v>7.9608031365590124</v>
      </c>
      <c r="S80" s="6">
        <f t="shared" ca="1" si="50"/>
        <v>8.4013721363480158</v>
      </c>
      <c r="T80" s="6">
        <f t="shared" ca="1" si="50"/>
        <v>8.7072078222696678</v>
      </c>
      <c r="U80" s="6">
        <f t="shared" ca="1" si="50"/>
        <v>9.1910755269086675</v>
      </c>
    </row>
    <row r="81" spans="1:21" x14ac:dyDescent="0.2">
      <c r="A81" s="1" t="s">
        <v>143</v>
      </c>
      <c r="B81" s="4" t="str">
        <f t="shared" si="49"/>
        <v>From Fiscal</v>
      </c>
      <c r="D81" s="14">
        <f>'Fiscal Forecasts'!D$71</f>
        <v>17.231999999999999</v>
      </c>
      <c r="E81" s="14">
        <f>'Fiscal Forecasts'!E$71</f>
        <v>17.074000000000002</v>
      </c>
      <c r="F81" s="14">
        <f>'Fiscal Forecasts'!F$71</f>
        <v>16.948</v>
      </c>
      <c r="G81" s="15">
        <f>'Fiscal Forecasts'!G$71</f>
        <v>18.616</v>
      </c>
      <c r="H81" s="15">
        <f>'Fiscal Forecasts'!H$71</f>
        <v>19.260000000000002</v>
      </c>
      <c r="I81" s="15">
        <f>'Fiscal Forecasts'!I$71</f>
        <v>19.824000000000002</v>
      </c>
      <c r="J81" s="15">
        <f>'Fiscal Forecasts'!J$71</f>
        <v>20.350999999999999</v>
      </c>
      <c r="K81" s="15">
        <f>'Fiscal Forecasts'!K$71</f>
        <v>20.863</v>
      </c>
      <c r="L81" s="6">
        <f ca="1">L$144</f>
        <v>22.169597892253343</v>
      </c>
      <c r="M81" s="6">
        <f t="shared" ref="M81:U81" ca="1" si="51">M$144</f>
        <v>23.180441405425086</v>
      </c>
      <c r="N81" s="6">
        <f t="shared" ca="1" si="51"/>
        <v>24.213322684013107</v>
      </c>
      <c r="O81" s="6">
        <f t="shared" ca="1" si="51"/>
        <v>25.272651847570266</v>
      </c>
      <c r="P81" s="6">
        <f t="shared" ca="1" si="51"/>
        <v>26.367953725643751</v>
      </c>
      <c r="Q81" s="6">
        <f t="shared" ca="1" si="51"/>
        <v>27.500973167815832</v>
      </c>
      <c r="R81" s="6">
        <f t="shared" ca="1" si="51"/>
        <v>28.669760624912609</v>
      </c>
      <c r="S81" s="6">
        <f t="shared" ca="1" si="51"/>
        <v>29.877797077846132</v>
      </c>
      <c r="T81" s="6">
        <f t="shared" ca="1" si="51"/>
        <v>31.126181814505124</v>
      </c>
      <c r="U81" s="6">
        <f t="shared" ca="1" si="51"/>
        <v>32.418688628714506</v>
      </c>
    </row>
    <row r="82" spans="1:21" x14ac:dyDescent="0.2">
      <c r="A82" s="1" t="s">
        <v>1249</v>
      </c>
      <c r="B82" s="4" t="str">
        <f t="shared" si="49"/>
        <v>From Fiscal</v>
      </c>
      <c r="D82" s="14">
        <f>'Fiscal Forecasts'!D$72</f>
        <v>2.6680000000000001</v>
      </c>
      <c r="E82" s="14">
        <f>'Fiscal Forecasts'!E$72</f>
        <v>2.593</v>
      </c>
      <c r="F82" s="14">
        <f>'Fiscal Forecasts'!F$72</f>
        <v>2.431</v>
      </c>
      <c r="G82" s="15">
        <f>'Fiscal Forecasts'!G$72</f>
        <v>2.3730000000000002</v>
      </c>
      <c r="H82" s="15">
        <f>'Fiscal Forecasts'!H$72</f>
        <v>2.4620000000000002</v>
      </c>
      <c r="I82" s="15">
        <f>'Fiscal Forecasts'!I$72</f>
        <v>2.5089999999999999</v>
      </c>
      <c r="J82" s="15">
        <f>'Fiscal Forecasts'!J$72</f>
        <v>2.754</v>
      </c>
      <c r="K82" s="15">
        <f>'Fiscal Forecasts'!K$72</f>
        <v>2.7629999999999999</v>
      </c>
      <c r="L82" s="6">
        <f ca="1">SUM(L$148,L$149,L$151,L$152,L$153,L$323)</f>
        <v>2.7389972668411811</v>
      </c>
      <c r="M82" s="6">
        <f t="shared" ref="M82:U82" ca="1" si="52">SUM(M$148,M$149,M$151,M$152,M$153,M$323)</f>
        <v>2.9509804757200717</v>
      </c>
      <c r="N82" s="6">
        <f t="shared" ca="1" si="52"/>
        <v>3.1743738562367954</v>
      </c>
      <c r="O82" s="6">
        <f t="shared" ca="1" si="52"/>
        <v>3.4031881620566811</v>
      </c>
      <c r="P82" s="6">
        <f t="shared" ca="1" si="52"/>
        <v>3.6349179809715002</v>
      </c>
      <c r="Q82" s="6">
        <f t="shared" ca="1" si="52"/>
        <v>3.8727782889514062</v>
      </c>
      <c r="R82" s="6">
        <f t="shared" ca="1" si="52"/>
        <v>4.0933219506283693</v>
      </c>
      <c r="S82" s="6">
        <f t="shared" ca="1" si="52"/>
        <v>4.2945212167353732</v>
      </c>
      <c r="T82" s="6">
        <f t="shared" ca="1" si="52"/>
        <v>4.5034194989037948</v>
      </c>
      <c r="U82" s="6">
        <f t="shared" ca="1" si="52"/>
        <v>4.7210029586155313</v>
      </c>
    </row>
    <row r="83" spans="1:21" x14ac:dyDescent="0.2">
      <c r="A83" s="1" t="s">
        <v>177</v>
      </c>
      <c r="B83" s="4" t="str">
        <f t="shared" si="49"/>
        <v>From Fiscal</v>
      </c>
      <c r="D83" s="14">
        <f>'Fiscal Forecasts'!D$73</f>
        <v>4.5190000000000001</v>
      </c>
      <c r="E83" s="14">
        <f>'Fiscal Forecasts'!E$73</f>
        <v>4.968</v>
      </c>
      <c r="F83" s="14">
        <f>'Fiscal Forecasts'!F$73</f>
        <v>4.8819999999999997</v>
      </c>
      <c r="G83" s="15">
        <f>'Fiscal Forecasts'!G$73</f>
        <v>4.8689999999999998</v>
      </c>
      <c r="H83" s="15">
        <f>'Fiscal Forecasts'!H$73</f>
        <v>4.9089999999999998</v>
      </c>
      <c r="I83" s="15">
        <f>'Fiscal Forecasts'!I$73</f>
        <v>5.38</v>
      </c>
      <c r="J83" s="15">
        <f>'Fiscal Forecasts'!J$73</f>
        <v>5.5540000000000003</v>
      </c>
      <c r="K83" s="15">
        <f>'Fiscal Forecasts'!K$73</f>
        <v>5.6920000000000002</v>
      </c>
      <c r="L83" s="6">
        <f ca="1">SUM(L$162,L$168)</f>
        <v>6.1204721832958606</v>
      </c>
      <c r="M83" s="6">
        <f t="shared" ref="M83:U83" ca="1" si="53">SUM(M$162,M$168)</f>
        <v>6.4881791923246475</v>
      </c>
      <c r="N83" s="6">
        <f t="shared" ca="1" si="53"/>
        <v>6.8741257821464101</v>
      </c>
      <c r="O83" s="6">
        <f t="shared" ca="1" si="53"/>
        <v>7.2845460678766853</v>
      </c>
      <c r="P83" s="6">
        <f t="shared" ca="1" si="53"/>
        <v>7.7257386978991729</v>
      </c>
      <c r="Q83" s="6">
        <f t="shared" ca="1" si="53"/>
        <v>8.1595703015358634</v>
      </c>
      <c r="R83" s="6">
        <f t="shared" ca="1" si="53"/>
        <v>8.6258034260354428</v>
      </c>
      <c r="S83" s="6">
        <f t="shared" ca="1" si="53"/>
        <v>9.026167653356687</v>
      </c>
      <c r="T83" s="6">
        <f t="shared" ca="1" si="53"/>
        <v>9.4385323231796825</v>
      </c>
      <c r="U83" s="6">
        <f t="shared" ca="1" si="53"/>
        <v>9.863666520301738</v>
      </c>
    </row>
    <row r="84" spans="1:21" ht="15" x14ac:dyDescent="0.25">
      <c r="A84" s="2" t="s">
        <v>178</v>
      </c>
      <c r="D84" s="34">
        <f t="shared" ref="D84:U84" si="54">SUM(D$79:D$83)</f>
        <v>94.094999999999999</v>
      </c>
      <c r="E84" s="34">
        <f t="shared" si="54"/>
        <v>98.347000000000008</v>
      </c>
      <c r="F84" s="34">
        <f t="shared" si="54"/>
        <v>101.87500000000001</v>
      </c>
      <c r="G84" s="33">
        <f t="shared" si="54"/>
        <v>108.33799999999999</v>
      </c>
      <c r="H84" s="33">
        <f t="shared" si="54"/>
        <v>113.304</v>
      </c>
      <c r="I84" s="33">
        <f t="shared" si="54"/>
        <v>119.852</v>
      </c>
      <c r="J84" s="33">
        <f t="shared" si="54"/>
        <v>125.768</v>
      </c>
      <c r="K84" s="33">
        <f t="shared" si="54"/>
        <v>131.745</v>
      </c>
      <c r="L84" s="37">
        <f t="shared" ca="1" si="54"/>
        <v>138.14788854000773</v>
      </c>
      <c r="M84" s="37">
        <f t="shared" ca="1" si="54"/>
        <v>145.03086601947982</v>
      </c>
      <c r="N84" s="37">
        <f t="shared" ca="1" si="54"/>
        <v>151.67828473186265</v>
      </c>
      <c r="O84" s="37">
        <f t="shared" ca="1" si="54"/>
        <v>158.59877942680956</v>
      </c>
      <c r="P84" s="37">
        <f t="shared" ca="1" si="54"/>
        <v>165.64682312221487</v>
      </c>
      <c r="Q84" s="37">
        <f t="shared" ca="1" si="54"/>
        <v>173.06043256415279</v>
      </c>
      <c r="R84" s="37">
        <f t="shared" ca="1" si="54"/>
        <v>180.54937498047863</v>
      </c>
      <c r="S84" s="37">
        <f t="shared" ca="1" si="54"/>
        <v>188.33190015178974</v>
      </c>
      <c r="T84" s="37">
        <f t="shared" ca="1" si="54"/>
        <v>196.22460644563614</v>
      </c>
      <c r="U84" s="37">
        <f t="shared" ca="1" si="54"/>
        <v>204.56202641802221</v>
      </c>
    </row>
    <row r="85" spans="1:21" x14ac:dyDescent="0.2">
      <c r="A85" s="1" t="s">
        <v>146</v>
      </c>
      <c r="B85" s="4" t="str">
        <f t="shared" si="49"/>
        <v>From Fiscal</v>
      </c>
      <c r="D85" s="14">
        <f>'Fiscal Forecasts'!D$75</f>
        <v>23.896000000000001</v>
      </c>
      <c r="E85" s="14">
        <f>'Fiscal Forecasts'!E$75</f>
        <v>24.338000000000001</v>
      </c>
      <c r="F85" s="14">
        <f>'Fiscal Forecasts'!F$75</f>
        <v>25.292999999999999</v>
      </c>
      <c r="G85" s="15">
        <f>'Fiscal Forecasts'!G$75 +IF($C$2="Yes",SUM('Fiscal Forecast Adjuster'!C$15:C$22)/1000,0)</f>
        <v>26.404</v>
      </c>
      <c r="H85" s="15">
        <f>'Fiscal Forecasts'!H$75 +IF($C$2="Yes",SUM('Fiscal Forecast Adjuster'!D$15:D$22)/1000,0)</f>
        <v>29.308</v>
      </c>
      <c r="I85" s="15">
        <f>'Fiscal Forecasts'!I$75 +IF($C$2="Yes",SUM('Fiscal Forecast Adjuster'!E$15:E$22)/1000,0)</f>
        <v>30.443000000000001</v>
      </c>
      <c r="J85" s="15">
        <f>'Fiscal Forecasts'!J$75 +IF($C$2="Yes",SUM('Fiscal Forecast Adjuster'!F$15:F$22)/1000,0)</f>
        <v>31.709</v>
      </c>
      <c r="K85" s="15">
        <f>'Fiscal Forecasts'!K$75 +IF($C$2="Yes",SUM('Fiscal Forecast Adjuster'!G$15:G$22)/1000,0)</f>
        <v>33.100999999999999</v>
      </c>
      <c r="L85" s="6">
        <f t="shared" ref="L85:U85" ca="1" si="55">L$182</f>
        <v>34.363565151060456</v>
      </c>
      <c r="M85" s="6">
        <f t="shared" ca="1" si="55"/>
        <v>36.108246773116122</v>
      </c>
      <c r="N85" s="6">
        <f t="shared" ca="1" si="55"/>
        <v>37.974275604287286</v>
      </c>
      <c r="O85" s="6">
        <f t="shared" ca="1" si="55"/>
        <v>39.960316226370615</v>
      </c>
      <c r="P85" s="6">
        <f t="shared" ca="1" si="55"/>
        <v>42.040429754017381</v>
      </c>
      <c r="Q85" s="6">
        <f t="shared" ca="1" si="55"/>
        <v>44.200502396927334</v>
      </c>
      <c r="R85" s="6">
        <f t="shared" ca="1" si="55"/>
        <v>46.410566163426076</v>
      </c>
      <c r="S85" s="6">
        <f t="shared" ca="1" si="55"/>
        <v>48.640953069460416</v>
      </c>
      <c r="T85" s="6">
        <f t="shared" ca="1" si="55"/>
        <v>50.93565712152116</v>
      </c>
      <c r="U85" s="6">
        <f t="shared" ca="1" si="55"/>
        <v>53.312754786873192</v>
      </c>
    </row>
    <row r="86" spans="1:21" x14ac:dyDescent="0.2">
      <c r="A86" s="1" t="s">
        <v>179</v>
      </c>
      <c r="B86" s="4" t="str">
        <f t="shared" si="49"/>
        <v>From Fiscal</v>
      </c>
      <c r="D86" s="14">
        <f>'Fiscal Forecasts'!D$76</f>
        <v>60.009</v>
      </c>
      <c r="E86" s="14">
        <f>'Fiscal Forecasts'!E$76</f>
        <v>61.16</v>
      </c>
      <c r="F86" s="14">
        <f>'Fiscal Forecasts'!F$76</f>
        <v>62.835999999999999</v>
      </c>
      <c r="G86" s="15">
        <f>'Fiscal Forecasts'!G$76 +IF($C$2="Yes",'Fiscal Forecast Adjuster'!C$24/1000,0)</f>
        <v>69.05</v>
      </c>
      <c r="H86" s="15">
        <f>'Fiscal Forecasts'!H$76 +IF($C$2="Yes",'Fiscal Forecast Adjuster'!D$24/1000,0)</f>
        <v>71.438000000000002</v>
      </c>
      <c r="I86" s="15">
        <f>'Fiscal Forecasts'!I$76 +IF($C$2="Yes",'Fiscal Forecast Adjuster'!E$24/1000,0)</f>
        <v>71.552000000000007</v>
      </c>
      <c r="J86" s="15">
        <f>'Fiscal Forecasts'!J$76 +IF($C$2="Yes",'Fiscal Forecast Adjuster'!F$24/1000,0)</f>
        <v>72.149000000000001</v>
      </c>
      <c r="K86" s="15">
        <f>'Fiscal Forecasts'!K$76 +IF($C$2="Yes",'Fiscal Forecast Adjuster'!G$24/1000,0)</f>
        <v>72.98</v>
      </c>
      <c r="L86" s="6">
        <f ca="1">SUM(L$200,L$217,L$231)-SUM(L$210,L$254,L$264,L$304,L$462-K$462,L$467-K$467)</f>
        <v>73.870366009813026</v>
      </c>
      <c r="M86" s="6">
        <f t="shared" ref="M86:U86" ca="1" si="56">SUM(M$200,M$217,M$231)-SUM(M$210,M$254,M$264,M$304,M$462-L$462,M$467-L$467)</f>
        <v>75.320435119573247</v>
      </c>
      <c r="N86" s="6">
        <f t="shared" ca="1" si="56"/>
        <v>76.415697882956493</v>
      </c>
      <c r="O86" s="6">
        <f t="shared" ca="1" si="56"/>
        <v>77.491524483630528</v>
      </c>
      <c r="P86" s="6">
        <f t="shared" ca="1" si="56"/>
        <v>78.583126610749645</v>
      </c>
      <c r="Q86" s="6">
        <f t="shared" ca="1" si="56"/>
        <v>79.659029910679976</v>
      </c>
      <c r="R86" s="6">
        <f t="shared" ca="1" si="56"/>
        <v>80.805828189114266</v>
      </c>
      <c r="S86" s="6">
        <f t="shared" ca="1" si="56"/>
        <v>81.934516575999396</v>
      </c>
      <c r="T86" s="6">
        <f t="shared" ca="1" si="56"/>
        <v>83.10220500675878</v>
      </c>
      <c r="U86" s="6">
        <f t="shared" ca="1" si="56"/>
        <v>84.31291275891887</v>
      </c>
    </row>
    <row r="87" spans="1:21" x14ac:dyDescent="0.2">
      <c r="A87" s="1" t="s">
        <v>180</v>
      </c>
      <c r="B87" s="4"/>
      <c r="D87" s="14">
        <f>D$533</f>
        <v>4.5979999999999999</v>
      </c>
      <c r="E87" s="14">
        <f>E$533</f>
        <v>4.3330000000000002</v>
      </c>
      <c r="F87" s="14">
        <f>F$533</f>
        <v>4.1790000000000003</v>
      </c>
      <c r="G87" s="15">
        <f t="shared" ref="G87:U87" si="57">G$533</f>
        <v>4.08</v>
      </c>
      <c r="H87" s="15">
        <f t="shared" si="57"/>
        <v>4.0519999999999996</v>
      </c>
      <c r="I87" s="15">
        <f t="shared" si="57"/>
        <v>3.887</v>
      </c>
      <c r="J87" s="15">
        <f t="shared" si="57"/>
        <v>4.1189999999999998</v>
      </c>
      <c r="K87" s="15">
        <f t="shared" si="57"/>
        <v>3.76</v>
      </c>
      <c r="L87" s="6">
        <f t="shared" ca="1" si="57"/>
        <v>4.6708970265751262</v>
      </c>
      <c r="M87" s="6">
        <f t="shared" ca="1" si="57"/>
        <v>5.0777636079613995</v>
      </c>
      <c r="N87" s="6">
        <f t="shared" ca="1" si="57"/>
        <v>5.5835735129457076</v>
      </c>
      <c r="O87" s="6">
        <f t="shared" ca="1" si="57"/>
        <v>6.1658243652036022</v>
      </c>
      <c r="P87" s="6">
        <f t="shared" ca="1" si="57"/>
        <v>6.8394582202191794</v>
      </c>
      <c r="Q87" s="6">
        <f t="shared" ca="1" si="57"/>
        <v>7.594583156223444</v>
      </c>
      <c r="R87" s="6">
        <f t="shared" ca="1" si="57"/>
        <v>8.4129627384402017</v>
      </c>
      <c r="S87" s="6">
        <f t="shared" ca="1" si="57"/>
        <v>8.8485998255216014</v>
      </c>
      <c r="T87" s="6">
        <f t="shared" ca="1" si="57"/>
        <v>9.2918063323853151</v>
      </c>
      <c r="U87" s="6">
        <f t="shared" ca="1" si="57"/>
        <v>9.7447678478668855</v>
      </c>
    </row>
    <row r="88" spans="1:21" x14ac:dyDescent="0.2">
      <c r="A88" s="1" t="s">
        <v>674</v>
      </c>
      <c r="B88" s="4"/>
      <c r="D88" s="14">
        <f t="shared" ref="D88:U88" si="58">SUM(D$236,D$239)</f>
        <v>0</v>
      </c>
      <c r="E88" s="14">
        <f t="shared" si="58"/>
        <v>0</v>
      </c>
      <c r="F88" s="14">
        <f t="shared" si="58"/>
        <v>0</v>
      </c>
      <c r="G88" s="15">
        <f t="shared" si="58"/>
        <v>-0.11399999999999999</v>
      </c>
      <c r="H88" s="15">
        <f t="shared" si="58"/>
        <v>-0.38500000000000001</v>
      </c>
      <c r="I88" s="15">
        <f t="shared" si="58"/>
        <v>2.7449999999999992</v>
      </c>
      <c r="J88" s="15">
        <f t="shared" si="58"/>
        <v>5.3609999999999998</v>
      </c>
      <c r="K88" s="15">
        <f t="shared" si="58"/>
        <v>7.8539999999999992</v>
      </c>
      <c r="L88" s="6">
        <f t="shared" ca="1" si="58"/>
        <v>10.041625</v>
      </c>
      <c r="M88" s="6">
        <f t="shared" ca="1" si="58"/>
        <v>12.327693125</v>
      </c>
      <c r="N88" s="6">
        <f t="shared" ca="1" si="58"/>
        <v>14.716634315625001</v>
      </c>
      <c r="O88" s="6">
        <f t="shared" ca="1" si="58"/>
        <v>17.213077859828125</v>
      </c>
      <c r="P88" s="6">
        <f t="shared" ca="1" si="58"/>
        <v>19.821861363520391</v>
      </c>
      <c r="Q88" s="6">
        <f t="shared" ca="1" si="58"/>
        <v>22.54804012487881</v>
      </c>
      <c r="R88" s="6">
        <f t="shared" ca="1" si="58"/>
        <v>25.396896930498354</v>
      </c>
      <c r="S88" s="6">
        <f t="shared" ca="1" si="58"/>
        <v>28.373952292370781</v>
      </c>
      <c r="T88" s="6">
        <f t="shared" ca="1" si="58"/>
        <v>31.484975145527464</v>
      </c>
      <c r="U88" s="6">
        <f t="shared" ca="1" si="58"/>
        <v>34.735994027076195</v>
      </c>
    </row>
    <row r="89" spans="1:21" ht="15" x14ac:dyDescent="0.25">
      <c r="A89" s="2" t="s">
        <v>676</v>
      </c>
      <c r="D89" s="34">
        <f t="shared" ref="D89:U89" si="59">SUM(D$85:D$88)</f>
        <v>88.503</v>
      </c>
      <c r="E89" s="34">
        <f t="shared" si="59"/>
        <v>89.830999999999989</v>
      </c>
      <c r="F89" s="34">
        <f t="shared" si="59"/>
        <v>92.307999999999993</v>
      </c>
      <c r="G89" s="33">
        <f t="shared" si="59"/>
        <v>99.419999999999987</v>
      </c>
      <c r="H89" s="33">
        <f t="shared" si="59"/>
        <v>104.413</v>
      </c>
      <c r="I89" s="33">
        <f t="shared" si="59"/>
        <v>108.62700000000001</v>
      </c>
      <c r="J89" s="33">
        <f t="shared" si="59"/>
        <v>113.33800000000001</v>
      </c>
      <c r="K89" s="33">
        <f t="shared" si="59"/>
        <v>117.69500000000001</v>
      </c>
      <c r="L89" s="37">
        <f t="shared" ca="1" si="59"/>
        <v>122.9464531874486</v>
      </c>
      <c r="M89" s="37">
        <f t="shared" ca="1" si="59"/>
        <v>128.83413862565078</v>
      </c>
      <c r="N89" s="37">
        <f t="shared" ca="1" si="59"/>
        <v>134.69018131581447</v>
      </c>
      <c r="O89" s="37">
        <f t="shared" ca="1" si="59"/>
        <v>140.83074293503287</v>
      </c>
      <c r="P89" s="37">
        <f t="shared" ca="1" si="59"/>
        <v>147.2848759485066</v>
      </c>
      <c r="Q89" s="37">
        <f t="shared" ca="1" si="59"/>
        <v>154.00215558870957</v>
      </c>
      <c r="R89" s="37">
        <f t="shared" ca="1" si="59"/>
        <v>161.02625402147888</v>
      </c>
      <c r="S89" s="37">
        <f t="shared" ca="1" si="59"/>
        <v>167.79802176335218</v>
      </c>
      <c r="T89" s="37">
        <f t="shared" ca="1" si="59"/>
        <v>174.8146436061927</v>
      </c>
      <c r="U89" s="37">
        <f t="shared" ca="1" si="59"/>
        <v>182.10642942073514</v>
      </c>
    </row>
    <row r="90" spans="1:21" ht="15" x14ac:dyDescent="0.25">
      <c r="A90" s="2" t="s">
        <v>337</v>
      </c>
      <c r="D90" s="35">
        <f>SUM(D$84,-D$89)</f>
        <v>5.5919999999999987</v>
      </c>
      <c r="E90" s="35">
        <f>SUM(E$84,-E$89)</f>
        <v>8.5160000000000196</v>
      </c>
      <c r="F90" s="35">
        <f>SUM(F$84,-F$89)</f>
        <v>9.5670000000000215</v>
      </c>
      <c r="G90" s="36">
        <f t="shared" ref="G90:U90" si="60">SUM(G$84,-G$89)</f>
        <v>8.9180000000000064</v>
      </c>
      <c r="H90" s="36">
        <f t="shared" si="60"/>
        <v>8.8910000000000053</v>
      </c>
      <c r="I90" s="36">
        <f t="shared" si="60"/>
        <v>11.224999999999994</v>
      </c>
      <c r="J90" s="36">
        <f t="shared" si="60"/>
        <v>12.429999999999993</v>
      </c>
      <c r="K90" s="36">
        <f t="shared" si="60"/>
        <v>14.049999999999997</v>
      </c>
      <c r="L90" s="27">
        <f t="shared" ca="1" si="60"/>
        <v>15.20143535255913</v>
      </c>
      <c r="M90" s="27">
        <f t="shared" ca="1" si="60"/>
        <v>16.196727393829036</v>
      </c>
      <c r="N90" s="27">
        <f t="shared" ca="1" si="60"/>
        <v>16.988103416048176</v>
      </c>
      <c r="O90" s="27">
        <f t="shared" ca="1" si="60"/>
        <v>17.768036491776684</v>
      </c>
      <c r="P90" s="27">
        <f t="shared" ca="1" si="60"/>
        <v>18.361947173708273</v>
      </c>
      <c r="Q90" s="27">
        <f t="shared" ca="1" si="60"/>
        <v>19.058276975443221</v>
      </c>
      <c r="R90" s="27">
        <f t="shared" ca="1" si="60"/>
        <v>19.523120958999755</v>
      </c>
      <c r="S90" s="27">
        <f t="shared" ca="1" si="60"/>
        <v>20.533878388437557</v>
      </c>
      <c r="T90" s="27">
        <f t="shared" ca="1" si="60"/>
        <v>21.409962839443438</v>
      </c>
      <c r="U90" s="27">
        <f t="shared" ca="1" si="60"/>
        <v>22.455596997287074</v>
      </c>
    </row>
    <row r="91" spans="1:21" x14ac:dyDescent="0.2">
      <c r="A91" s="1" t="s">
        <v>683</v>
      </c>
      <c r="B91" s="4" t="str">
        <f t="shared" ref="B91:B100" si="61">$B$37</f>
        <v>From Fiscal</v>
      </c>
      <c r="D91" s="14">
        <f>-'Fiscal Forecasts'!D$80</f>
        <v>6.1769999999999996</v>
      </c>
      <c r="E91" s="14">
        <f>-'Fiscal Forecasts'!E$80</f>
        <v>6.1980000000000004</v>
      </c>
      <c r="F91" s="14">
        <f>-'Fiscal Forecasts'!F$80</f>
        <v>6.2089999999999996</v>
      </c>
      <c r="G91" s="15">
        <f>-'Fiscal Forecasts'!G$80</f>
        <v>9.218</v>
      </c>
      <c r="H91" s="15">
        <f>-'Fiscal Forecasts'!H$80</f>
        <v>10.191000000000001</v>
      </c>
      <c r="I91" s="15">
        <f>-'Fiscal Forecasts'!I$80</f>
        <v>8.3089999999999993</v>
      </c>
      <c r="J91" s="15">
        <f>-'Fiscal Forecasts'!J$80</f>
        <v>8.0869999999999997</v>
      </c>
      <c r="K91" s="15">
        <f>-'Fiscal Forecasts'!K$80</f>
        <v>6.7469999999999999</v>
      </c>
      <c r="L91" s="6">
        <f ca="1">SUM(L$411-K$411,L$206,L$40)</f>
        <v>6.6139866547202244</v>
      </c>
      <c r="M91" s="6">
        <f t="shared" ref="M91:U91" ca="1" si="62">SUM(M$411-L$411,M$206,M$40)</f>
        <v>6.959073773640533</v>
      </c>
      <c r="N91" s="6">
        <f t="shared" ca="1" si="62"/>
        <v>7.2720123772768259</v>
      </c>
      <c r="O91" s="6">
        <f t="shared" ca="1" si="62"/>
        <v>7.646805324825686</v>
      </c>
      <c r="P91" s="6">
        <f t="shared" ca="1" si="62"/>
        <v>8.080899772506049</v>
      </c>
      <c r="Q91" s="6">
        <f t="shared" ca="1" si="62"/>
        <v>8.5736156390464764</v>
      </c>
      <c r="R91" s="6">
        <f t="shared" ca="1" si="62"/>
        <v>9.0873825365971186</v>
      </c>
      <c r="S91" s="6">
        <f t="shared" ca="1" si="62"/>
        <v>9.6237054115675509</v>
      </c>
      <c r="T91" s="6">
        <f t="shared" ca="1" si="62"/>
        <v>10.183211844181812</v>
      </c>
      <c r="U91" s="6">
        <f t="shared" ca="1" si="62"/>
        <v>10.766895916828481</v>
      </c>
    </row>
    <row r="92" spans="1:21" x14ac:dyDescent="0.2">
      <c r="A92" s="1" t="s">
        <v>684</v>
      </c>
      <c r="B92" s="4" t="str">
        <f t="shared" si="61"/>
        <v>From Fiscal</v>
      </c>
      <c r="D92" s="14">
        <f>-'Fiscal Forecasts'!D$81</f>
        <v>4.9119999999999999</v>
      </c>
      <c r="E92" s="14">
        <f>-'Fiscal Forecasts'!E$81</f>
        <v>-1.41</v>
      </c>
      <c r="F92" s="14">
        <f>-'Fiscal Forecasts'!F$81</f>
        <v>-0.88900000000000001</v>
      </c>
      <c r="G92" s="15">
        <f>-'Fiscal Forecasts'!G$81</f>
        <v>3.54</v>
      </c>
      <c r="H92" s="15">
        <f>-'Fiscal Forecasts'!H$81</f>
        <v>-6.117</v>
      </c>
      <c r="I92" s="15">
        <f>-'Fiscal Forecasts'!I$81</f>
        <v>4.1790000000000003</v>
      </c>
      <c r="J92" s="15">
        <f>-'Fiscal Forecasts'!J$81</f>
        <v>1.5920000000000001</v>
      </c>
      <c r="K92" s="15">
        <f>-'Fiscal Forecasts'!K$81</f>
        <v>10.385</v>
      </c>
      <c r="L92" s="6">
        <f ca="1">SUM(L$354-K$354,L$363-K$363)-SUM(L$322,L$325,L$326,L$327)</f>
        <v>3.2623716459727308</v>
      </c>
      <c r="M92" s="6">
        <f t="shared" ref="M92:U92" ca="1" si="63">SUM(M$354-L$354,M$363-L$363)-SUM(M$322,M$325,M$326,M$327)</f>
        <v>2.9727993286337266</v>
      </c>
      <c r="N92" s="6">
        <f t="shared" ca="1" si="63"/>
        <v>2.9819581899329801</v>
      </c>
      <c r="O92" s="6">
        <f t="shared" ca="1" si="63"/>
        <v>3.0624588645623776</v>
      </c>
      <c r="P92" s="6">
        <f t="shared" ca="1" si="63"/>
        <v>3.0722100404860369</v>
      </c>
      <c r="Q92" s="6">
        <f t="shared" ca="1" si="63"/>
        <v>3.2364245930342079</v>
      </c>
      <c r="R92" s="6">
        <f t="shared" ca="1" si="63"/>
        <v>3.0111025606544866</v>
      </c>
      <c r="S92" s="6">
        <f t="shared" ca="1" si="63"/>
        <v>2.9102569377196712</v>
      </c>
      <c r="T92" s="6">
        <f t="shared" ca="1" si="63"/>
        <v>2.7271617156374539</v>
      </c>
      <c r="U92" s="6">
        <f t="shared" ca="1" si="63"/>
        <v>2.6439021276605796</v>
      </c>
    </row>
    <row r="93" spans="1:21" x14ac:dyDescent="0.2">
      <c r="A93" s="1" t="s">
        <v>685</v>
      </c>
      <c r="B93" s="4" t="str">
        <f t="shared" si="61"/>
        <v>From Fiscal</v>
      </c>
      <c r="D93" s="14">
        <f>-'Fiscal Forecasts'!D$82</f>
        <v>0.63100000000000001</v>
      </c>
      <c r="E93" s="14">
        <f>-'Fiscal Forecasts'!E$82</f>
        <v>0.68700000000000006</v>
      </c>
      <c r="F93" s="14">
        <f>-'Fiscal Forecasts'!F$82</f>
        <v>0.748</v>
      </c>
      <c r="G93" s="15">
        <f>-'Fiscal Forecasts'!G$82</f>
        <v>0.85899999999999999</v>
      </c>
      <c r="H93" s="15">
        <f>-'Fiscal Forecasts'!H$82</f>
        <v>0.72299999999999998</v>
      </c>
      <c r="I93" s="15">
        <f>-'Fiscal Forecasts'!I$82</f>
        <v>0.626</v>
      </c>
      <c r="J93" s="15">
        <f>-'Fiscal Forecasts'!J$82</f>
        <v>0.61299999999999999</v>
      </c>
      <c r="K93" s="15">
        <f>-'Fiscal Forecasts'!K$82</f>
        <v>0.46500000000000002</v>
      </c>
      <c r="L93" s="6">
        <f ca="1">SUM(L$429-K$429,L$210)</f>
        <v>1.0453559095529767</v>
      </c>
      <c r="M93" s="6">
        <f t="shared" ref="M93:U93" ca="1" si="64">SUM(M$429-L$429,M$210)</f>
        <v>1.0866950001416149</v>
      </c>
      <c r="N93" s="6">
        <f t="shared" ca="1" si="64"/>
        <v>1.1257988287291594</v>
      </c>
      <c r="O93" s="6">
        <f t="shared" ca="1" si="64"/>
        <v>1.1624426249917388</v>
      </c>
      <c r="P93" s="6">
        <f t="shared" ca="1" si="64"/>
        <v>1.1975615981008736</v>
      </c>
      <c r="Q93" s="6">
        <f t="shared" ca="1" si="64"/>
        <v>1.2291454230207857</v>
      </c>
      <c r="R93" s="6">
        <f t="shared" ca="1" si="64"/>
        <v>1.2788739201742343</v>
      </c>
      <c r="S93" s="6">
        <f t="shared" ca="1" si="64"/>
        <v>1.3307343897305501</v>
      </c>
      <c r="T93" s="6">
        <f t="shared" ca="1" si="64"/>
        <v>1.384284104874701</v>
      </c>
      <c r="U93" s="6">
        <f t="shared" ca="1" si="64"/>
        <v>1.4402022471527354</v>
      </c>
    </row>
    <row r="94" spans="1:21" x14ac:dyDescent="0.2">
      <c r="A94" s="1" t="s">
        <v>686</v>
      </c>
      <c r="B94" s="4" t="str">
        <f t="shared" si="61"/>
        <v>From Fiscal</v>
      </c>
      <c r="D94" s="14">
        <f>-'Fiscal Forecasts'!D$83</f>
        <v>1.6859999999999999</v>
      </c>
      <c r="E94" s="14">
        <f>-'Fiscal Forecasts'!E$83</f>
        <v>1.702</v>
      </c>
      <c r="F94" s="14">
        <f>-'Fiscal Forecasts'!F$83</f>
        <v>0.98899999999999999</v>
      </c>
      <c r="G94" s="15">
        <f>-'Fiscal Forecasts'!G$83</f>
        <v>0.214</v>
      </c>
      <c r="H94" s="15">
        <f>-'Fiscal Forecasts'!H$83</f>
        <v>0.20300000000000001</v>
      </c>
      <c r="I94" s="15">
        <f>-'Fiscal Forecasts'!I$83</f>
        <v>0.23300000000000001</v>
      </c>
      <c r="J94" s="15">
        <f>-'Fiscal Forecasts'!J$83</f>
        <v>0.253</v>
      </c>
      <c r="K94" s="15">
        <f>-'Fiscal Forecasts'!K$83</f>
        <v>0.25900000000000001</v>
      </c>
      <c r="L94" s="6">
        <f ca="1">SUM(L$386-K$386,-L$147,L$254)</f>
        <v>0.98584274086067369</v>
      </c>
      <c r="M94" s="6">
        <f t="shared" ref="M94:U94" ca="1" si="65">SUM(M$386-L$386,-M$147,M$254)</f>
        <v>1.1965321235778559</v>
      </c>
      <c r="N94" s="6">
        <f t="shared" ca="1" si="65"/>
        <v>1.2576537207651173</v>
      </c>
      <c r="O94" s="6">
        <f t="shared" ca="1" si="65"/>
        <v>1.3201387063798524</v>
      </c>
      <c r="P94" s="6">
        <f t="shared" ca="1" si="65"/>
        <v>1.3986374896908664</v>
      </c>
      <c r="Q94" s="6">
        <f t="shared" ca="1" si="65"/>
        <v>1.4765563006909499</v>
      </c>
      <c r="R94" s="6">
        <f t="shared" ca="1" si="65"/>
        <v>1.5482286431103063</v>
      </c>
      <c r="S94" s="6">
        <f t="shared" ca="1" si="65"/>
        <v>1.6196610482736671</v>
      </c>
      <c r="T94" s="6">
        <f t="shared" ca="1" si="65"/>
        <v>1.690658539959454</v>
      </c>
      <c r="U94" s="6">
        <f t="shared" ca="1" si="65"/>
        <v>1.7598567401978076</v>
      </c>
    </row>
    <row r="95" spans="1:21" x14ac:dyDescent="0.2">
      <c r="A95" s="1" t="s">
        <v>687</v>
      </c>
      <c r="B95" s="4" t="str">
        <f t="shared" si="61"/>
        <v>From Fiscal</v>
      </c>
      <c r="D95" s="14">
        <f>-'Fiscal Forecasts'!D$84</f>
        <v>-0.73199999999999998</v>
      </c>
      <c r="E95" s="14">
        <f>-'Fiscal Forecasts'!E$84</f>
        <v>-0.113</v>
      </c>
      <c r="F95" s="14">
        <f>-'Fiscal Forecasts'!F$84</f>
        <v>0.14799999999999999</v>
      </c>
      <c r="G95" s="15">
        <f>-'Fiscal Forecasts'!G$84</f>
        <v>0.24299999999999999</v>
      </c>
      <c r="H95" s="15">
        <f>-'Fiscal Forecasts'!H$84</f>
        <v>0.42</v>
      </c>
      <c r="I95" s="15">
        <f>-'Fiscal Forecasts'!I$84</f>
        <v>0.22900000000000001</v>
      </c>
      <c r="J95" s="15">
        <f>-'Fiscal Forecasts'!J$84</f>
        <v>0.14199999999999999</v>
      </c>
      <c r="K95" s="15">
        <f>-'Fiscal Forecasts'!K$84</f>
        <v>0.29399999999999998</v>
      </c>
      <c r="L95" s="6">
        <f t="shared" ref="L95:U95" ca="1" si="66">SUM(L$423-K$423,-L$332)</f>
        <v>0.10429347770769137</v>
      </c>
      <c r="M95" s="6">
        <f t="shared" ca="1" si="66"/>
        <v>0.12261206301814387</v>
      </c>
      <c r="N95" s="6">
        <f t="shared" ca="1" si="66"/>
        <v>0.12807544924990233</v>
      </c>
      <c r="O95" s="6">
        <f t="shared" ca="1" si="66"/>
        <v>0.13367873056311325</v>
      </c>
      <c r="P95" s="6">
        <f t="shared" ca="1" si="66"/>
        <v>0.13947228818134039</v>
      </c>
      <c r="Q95" s="6">
        <f t="shared" ca="1" si="66"/>
        <v>0.14546535142006789</v>
      </c>
      <c r="R95" s="6">
        <f t="shared" ca="1" si="66"/>
        <v>0.15164760821310846</v>
      </c>
      <c r="S95" s="6">
        <f t="shared" ca="1" si="66"/>
        <v>0.15803747107657462</v>
      </c>
      <c r="T95" s="6">
        <f t="shared" ca="1" si="66"/>
        <v>0.16464075465194061</v>
      </c>
      <c r="U95" s="6">
        <f t="shared" ca="1" si="66"/>
        <v>0.17147742027808033</v>
      </c>
    </row>
    <row r="96" spans="1:21" x14ac:dyDescent="0.2">
      <c r="A96" s="1" t="s">
        <v>672</v>
      </c>
      <c r="B96" s="4"/>
      <c r="D96" s="14">
        <f>SUM(D$441-C$441,D$442-C$442)</f>
        <v>0</v>
      </c>
      <c r="E96" s="14">
        <f>SUM(E$441-D$441,E$442-D$442)</f>
        <v>0</v>
      </c>
      <c r="F96" s="14">
        <f>SUM(F$441-E$441,F$442-E$442)</f>
        <v>0</v>
      </c>
      <c r="G96" s="15">
        <f>SUM(G$441-F$441,G$442-F$442)</f>
        <v>-0.3</v>
      </c>
      <c r="H96" s="15">
        <f t="shared" ref="H96:U96" si="67">SUM(H$441-G$441,H$442-G$442)</f>
        <v>0.66699999999999993</v>
      </c>
      <c r="I96" s="15">
        <f t="shared" si="67"/>
        <v>1.3920000000000001</v>
      </c>
      <c r="J96" s="15">
        <f t="shared" si="67"/>
        <v>2.1069999999999998</v>
      </c>
      <c r="K96" s="15">
        <f t="shared" si="67"/>
        <v>2.7090000000000005</v>
      </c>
      <c r="L96" s="6">
        <f t="shared" ca="1" si="67"/>
        <v>3.9284250000000007</v>
      </c>
      <c r="M96" s="6">
        <f t="shared" ca="1" si="67"/>
        <v>5.6139178750000003</v>
      </c>
      <c r="N96" s="6">
        <f t="shared" ca="1" si="67"/>
        <v>7.239622929374999</v>
      </c>
      <c r="O96" s="6">
        <f t="shared" ca="1" si="67"/>
        <v>8.7745547111968722</v>
      </c>
      <c r="P96" s="6">
        <f t="shared" ca="1" si="67"/>
        <v>10.314658423200733</v>
      </c>
      <c r="Q96" s="6">
        <f t="shared" ca="1" si="67"/>
        <v>10.778818052244761</v>
      </c>
      <c r="R96" s="6">
        <f t="shared" ca="1" si="67"/>
        <v>11.263864864595774</v>
      </c>
      <c r="S96" s="6">
        <f t="shared" ca="1" si="67"/>
        <v>11.770738783502583</v>
      </c>
      <c r="T96" s="6">
        <f t="shared" ca="1" si="67"/>
        <v>12.300422028760201</v>
      </c>
      <c r="U96" s="6">
        <f t="shared" ca="1" si="67"/>
        <v>12.853941020054418</v>
      </c>
    </row>
    <row r="97" spans="1:21" ht="15" x14ac:dyDescent="0.25">
      <c r="A97" s="2" t="s">
        <v>677</v>
      </c>
      <c r="D97" s="34">
        <f t="shared" ref="D97:U97" si="68">-SUM(D$91:D$96)</f>
        <v>-12.673999999999999</v>
      </c>
      <c r="E97" s="34">
        <f t="shared" si="68"/>
        <v>-7.0640000000000001</v>
      </c>
      <c r="F97" s="34">
        <f t="shared" si="68"/>
        <v>-7.2049999999999992</v>
      </c>
      <c r="G97" s="33">
        <f t="shared" si="68"/>
        <v>-13.773999999999999</v>
      </c>
      <c r="H97" s="33">
        <f t="shared" si="68"/>
        <v>-6.0870000000000006</v>
      </c>
      <c r="I97" s="33">
        <f t="shared" si="68"/>
        <v>-14.967999999999998</v>
      </c>
      <c r="J97" s="33">
        <f t="shared" si="68"/>
        <v>-12.793999999999999</v>
      </c>
      <c r="K97" s="33">
        <f t="shared" si="68"/>
        <v>-20.858999999999998</v>
      </c>
      <c r="L97" s="37">
        <f t="shared" ca="1" si="68"/>
        <v>-15.940275428814296</v>
      </c>
      <c r="M97" s="37">
        <f t="shared" ca="1" si="68"/>
        <v>-17.951630164011874</v>
      </c>
      <c r="N97" s="37">
        <f t="shared" ca="1" si="68"/>
        <v>-20.005121495328982</v>
      </c>
      <c r="O97" s="37">
        <f t="shared" ca="1" si="68"/>
        <v>-22.100078962519639</v>
      </c>
      <c r="P97" s="37">
        <f t="shared" ca="1" si="68"/>
        <v>-24.203439612165898</v>
      </c>
      <c r="Q97" s="37">
        <f t="shared" ca="1" si="68"/>
        <v>-25.440025359457248</v>
      </c>
      <c r="R97" s="37">
        <f t="shared" ca="1" si="68"/>
        <v>-26.34110013334503</v>
      </c>
      <c r="S97" s="37">
        <f t="shared" ca="1" si="68"/>
        <v>-27.413134041870599</v>
      </c>
      <c r="T97" s="37">
        <f t="shared" ca="1" si="68"/>
        <v>-28.450378988065566</v>
      </c>
      <c r="U97" s="37">
        <f t="shared" ca="1" si="68"/>
        <v>-29.636275472172102</v>
      </c>
    </row>
    <row r="98" spans="1:21" x14ac:dyDescent="0.2">
      <c r="A98" s="1" t="s">
        <v>188</v>
      </c>
      <c r="B98" s="4" t="str">
        <f t="shared" si="61"/>
        <v>From Fiscal</v>
      </c>
      <c r="D98" s="14">
        <f>'Fiscal Forecasts'!D$87</f>
        <v>0.372</v>
      </c>
      <c r="E98" s="14">
        <f>'Fiscal Forecasts'!E$87</f>
        <v>0.378</v>
      </c>
      <c r="F98" s="14">
        <f>'Fiscal Forecasts'!F$87</f>
        <v>0.26500000000000001</v>
      </c>
      <c r="G98" s="15">
        <f>'Fiscal Forecasts'!G$87</f>
        <v>0.46</v>
      </c>
      <c r="H98" s="15">
        <f>'Fiscal Forecasts'!H$87</f>
        <v>0.19600000000000001</v>
      </c>
      <c r="I98" s="15">
        <f>'Fiscal Forecasts'!I$87</f>
        <v>0.20200000000000001</v>
      </c>
      <c r="J98" s="15">
        <f>'Fiscal Forecasts'!J$87</f>
        <v>0.20799999999999999</v>
      </c>
      <c r="K98" s="15">
        <f>'Fiscal Forecasts'!K$87</f>
        <v>0.214</v>
      </c>
      <c r="L98" s="6">
        <f t="shared" ref="L98:U98" ca="1" si="69">L$445-K$445</f>
        <v>0.37752846600355738</v>
      </c>
      <c r="M98" s="6">
        <f t="shared" ca="1" si="69"/>
        <v>0.37923488856834986</v>
      </c>
      <c r="N98" s="6">
        <f t="shared" ca="1" si="69"/>
        <v>0.3814952091130035</v>
      </c>
      <c r="O98" s="6">
        <f t="shared" ca="1" si="69"/>
        <v>0.38431860230770454</v>
      </c>
      <c r="P98" s="6">
        <f t="shared" ca="1" si="69"/>
        <v>0.38944590314491734</v>
      </c>
      <c r="Q98" s="6">
        <f t="shared" ca="1" si="69"/>
        <v>0.39411782080294699</v>
      </c>
      <c r="R98" s="6">
        <f t="shared" ca="1" si="69"/>
        <v>0.40655963033584008</v>
      </c>
      <c r="S98" s="6">
        <f t="shared" ca="1" si="69"/>
        <v>0.42021228988617132</v>
      </c>
      <c r="T98" s="6">
        <f t="shared" ca="1" si="69"/>
        <v>0.4342473338255175</v>
      </c>
      <c r="U98" s="6">
        <f t="shared" ca="1" si="69"/>
        <v>0.44959508198076925</v>
      </c>
    </row>
    <row r="99" spans="1:21" x14ac:dyDescent="0.2">
      <c r="A99" s="1" t="s">
        <v>339</v>
      </c>
      <c r="B99" s="4" t="str">
        <f t="shared" si="61"/>
        <v>From Fiscal</v>
      </c>
      <c r="D99" s="14">
        <f>SUM('Fiscal Forecasts'!D$88:D$90)</f>
        <v>6.3040000000000003</v>
      </c>
      <c r="E99" s="14">
        <f>SUM('Fiscal Forecasts'!E$88:E$90)</f>
        <v>2.4990000000000006</v>
      </c>
      <c r="F99" s="14">
        <f>SUM('Fiscal Forecasts'!F$88:F$90)</f>
        <v>1.5660000000000003</v>
      </c>
      <c r="G99" s="15">
        <f>SUM('Fiscal Forecasts'!G$88:G$90) +IF($C$2="Yes",'Fiscal Forecast Adjuster'!C$37/1000,0)</f>
        <v>3.7710000000000008</v>
      </c>
      <c r="H99" s="15">
        <f>SUM('Fiscal Forecasts'!H$88:H$90) +IF($C$2="Yes",'Fiscal Forecast Adjuster'!D$37/1000,0)</f>
        <v>-3.5619999999999998</v>
      </c>
      <c r="I99" s="15">
        <f>SUM('Fiscal Forecasts'!I$88:I$90) +IF($C$2="Yes",'Fiscal Forecast Adjuster'!E$37/1000,0)</f>
        <v>3.9980000000000002</v>
      </c>
      <c r="J99" s="15">
        <f>SUM('Fiscal Forecasts'!J$88:J$90) +IF($C$2="Yes",'Fiscal Forecast Adjuster'!F$37/1000,0)</f>
        <v>0.8360000000000003</v>
      </c>
      <c r="K99" s="15">
        <f>SUM('Fiscal Forecasts'!K$88:K$90) +IF($C$2="Yes",'Fiscal Forecast Adjuster'!G$37/1000,0)</f>
        <v>6.9030000000000005</v>
      </c>
      <c r="L99" s="6">
        <f ca="1">SUM(L$338-K$338,L$100)-SUM(L$90,L$97,L$98)</f>
        <v>0.41444376421632534</v>
      </c>
      <c r="M99" s="6">
        <f t="shared" ref="M99:U99" ca="1" si="70">SUM(M$338-L$338,M$100)-SUM(M$90,M$97,M$98)</f>
        <v>3.3938588146140249</v>
      </c>
      <c r="N99" s="6">
        <f t="shared" ca="1" si="70"/>
        <v>4.6024258990959428</v>
      </c>
      <c r="O99" s="6">
        <f t="shared" ca="1" si="70"/>
        <v>5.8494950196732045</v>
      </c>
      <c r="P99" s="6">
        <f t="shared" ca="1" si="70"/>
        <v>7.27739259994833</v>
      </c>
      <c r="Q99" s="6">
        <f t="shared" ca="1" si="70"/>
        <v>7.7117122555763808</v>
      </c>
      <c r="R99" s="6">
        <f t="shared" ca="1" si="70"/>
        <v>8.1736353103630606</v>
      </c>
      <c r="S99" s="6">
        <f t="shared" ca="1" si="70"/>
        <v>8.2655000511990426</v>
      </c>
      <c r="T99" s="6">
        <f t="shared" ca="1" si="70"/>
        <v>8.4592737927146384</v>
      </c>
      <c r="U99" s="6">
        <f t="shared" ca="1" si="70"/>
        <v>8.6336135839483887</v>
      </c>
    </row>
    <row r="100" spans="1:21" x14ac:dyDescent="0.2">
      <c r="A100" s="1" t="s">
        <v>1209</v>
      </c>
      <c r="B100" s="4" t="str">
        <f t="shared" si="61"/>
        <v>From Fiscal</v>
      </c>
      <c r="D100" s="14">
        <f>-'Fiscal Forecasts'!D$91</f>
        <v>0.47799999999999998</v>
      </c>
      <c r="E100" s="14">
        <f>-'Fiscal Forecasts'!E$91</f>
        <v>0.50900000000000001</v>
      </c>
      <c r="F100" s="14">
        <f>-'Fiscal Forecasts'!F$91</f>
        <v>0.65600000000000003</v>
      </c>
      <c r="G100" s="15">
        <f>-'Fiscal Forecasts'!G$91</f>
        <v>0.56000000000000005</v>
      </c>
      <c r="H100" s="15">
        <f>-'Fiscal Forecasts'!H$91</f>
        <v>0.53200000000000003</v>
      </c>
      <c r="I100" s="15">
        <f>-'Fiscal Forecasts'!I$91</f>
        <v>0.56699999999999995</v>
      </c>
      <c r="J100" s="15">
        <f>-'Fiscal Forecasts'!J$91</f>
        <v>0.57799999999999996</v>
      </c>
      <c r="K100" s="15">
        <f>-'Fiscal Forecasts'!K$91</f>
        <v>0.57899999999999996</v>
      </c>
      <c r="L100" s="6">
        <f t="shared" ref="L100:U100" ca="1" si="71">L$37</f>
        <v>0.50270383928431095</v>
      </c>
      <c r="M100" s="6">
        <f t="shared" ca="1" si="71"/>
        <v>0.50889062576957655</v>
      </c>
      <c r="N100" s="6">
        <f t="shared" ca="1" si="71"/>
        <v>0.51535308500082178</v>
      </c>
      <c r="O100" s="6">
        <f t="shared" ca="1" si="71"/>
        <v>0.52209827583488311</v>
      </c>
      <c r="P100" s="6">
        <f t="shared" ca="1" si="71"/>
        <v>0.52913579927547394</v>
      </c>
      <c r="Q100" s="6">
        <f t="shared" ca="1" si="71"/>
        <v>0.53647572202114158</v>
      </c>
      <c r="R100" s="6">
        <f t="shared" ca="1" si="71"/>
        <v>0.5441275904419256</v>
      </c>
      <c r="S100" s="6">
        <f t="shared" ca="1" si="71"/>
        <v>0.55210187997066007</v>
      </c>
      <c r="T100" s="6">
        <f t="shared" ca="1" si="71"/>
        <v>0.56040935943663905</v>
      </c>
      <c r="U100" s="6">
        <f t="shared" ca="1" si="71"/>
        <v>0.56906180488279101</v>
      </c>
    </row>
    <row r="101" spans="1:21" ht="15" x14ac:dyDescent="0.25">
      <c r="A101" s="2" t="s">
        <v>341</v>
      </c>
      <c r="D101" s="34">
        <f>SUM(D$98,D$99,-D$100)</f>
        <v>6.1980000000000004</v>
      </c>
      <c r="E101" s="34">
        <f>SUM(E$98,E$99,-E$100)</f>
        <v>2.3680000000000008</v>
      </c>
      <c r="F101" s="34">
        <f>SUM(F$98,F$99,-F$100)</f>
        <v>1.1750000000000003</v>
      </c>
      <c r="G101" s="33">
        <f t="shared" ref="G101:U101" si="72">SUM(G$98,G$99,-G$100)</f>
        <v>3.6710000000000007</v>
      </c>
      <c r="H101" s="33">
        <f t="shared" si="72"/>
        <v>-3.8979999999999997</v>
      </c>
      <c r="I101" s="33">
        <f t="shared" si="72"/>
        <v>3.633</v>
      </c>
      <c r="J101" s="33">
        <f t="shared" si="72"/>
        <v>0.4660000000000003</v>
      </c>
      <c r="K101" s="33">
        <f t="shared" si="72"/>
        <v>6.5380000000000011</v>
      </c>
      <c r="L101" s="37">
        <f t="shared" ca="1" si="72"/>
        <v>0.28926839093557177</v>
      </c>
      <c r="M101" s="37">
        <f t="shared" ca="1" si="72"/>
        <v>3.2642030774127981</v>
      </c>
      <c r="N101" s="37">
        <f t="shared" ca="1" si="72"/>
        <v>4.4685680232081246</v>
      </c>
      <c r="O101" s="37">
        <f t="shared" ca="1" si="72"/>
        <v>5.7117153461460255</v>
      </c>
      <c r="P101" s="37">
        <f t="shared" ca="1" si="72"/>
        <v>7.1377027038177729</v>
      </c>
      <c r="Q101" s="37">
        <f t="shared" ca="1" si="72"/>
        <v>7.5693543543581852</v>
      </c>
      <c r="R101" s="37">
        <f t="shared" ca="1" si="72"/>
        <v>8.0360673502569746</v>
      </c>
      <c r="S101" s="37">
        <f t="shared" ca="1" si="72"/>
        <v>8.1336104611145537</v>
      </c>
      <c r="T101" s="37">
        <f t="shared" ca="1" si="72"/>
        <v>8.3331117671035173</v>
      </c>
      <c r="U101" s="37">
        <f t="shared" ca="1" si="72"/>
        <v>8.5141468610463669</v>
      </c>
    </row>
    <row r="102" spans="1:21" ht="15" x14ac:dyDescent="0.25">
      <c r="A102" s="2" t="s">
        <v>194</v>
      </c>
      <c r="D102" s="35">
        <f t="shared" ref="D102:U102" si="73">SUM(D$90,D$97,D$101)</f>
        <v>-0.88400000000000034</v>
      </c>
      <c r="E102" s="35">
        <f t="shared" si="73"/>
        <v>3.8200000000000203</v>
      </c>
      <c r="F102" s="35">
        <f t="shared" si="73"/>
        <v>3.5370000000000226</v>
      </c>
      <c r="G102" s="36">
        <f t="shared" si="73"/>
        <v>-1.1849999999999921</v>
      </c>
      <c r="H102" s="36">
        <f t="shared" si="73"/>
        <v>-1.093999999999995</v>
      </c>
      <c r="I102" s="36">
        <f t="shared" si="73"/>
        <v>-0.11000000000000387</v>
      </c>
      <c r="J102" s="36">
        <f t="shared" si="73"/>
        <v>0.10199999999999421</v>
      </c>
      <c r="K102" s="36">
        <f t="shared" si="73"/>
        <v>-0.27099999999999991</v>
      </c>
      <c r="L102" s="27">
        <f t="shared" ca="1" si="73"/>
        <v>-0.44957168531959368</v>
      </c>
      <c r="M102" s="27">
        <f t="shared" ca="1" si="73"/>
        <v>1.5093003072299602</v>
      </c>
      <c r="N102" s="27">
        <f t="shared" ca="1" si="73"/>
        <v>1.4515499439273185</v>
      </c>
      <c r="O102" s="27">
        <f t="shared" ca="1" si="73"/>
        <v>1.3796728754030703</v>
      </c>
      <c r="P102" s="27">
        <f t="shared" ca="1" si="73"/>
        <v>1.2962102653601484</v>
      </c>
      <c r="Q102" s="27">
        <f t="shared" ca="1" si="73"/>
        <v>1.1876059703441575</v>
      </c>
      <c r="R102" s="27">
        <f t="shared" ca="1" si="73"/>
        <v>1.2180881759116993</v>
      </c>
      <c r="S102" s="27">
        <f t="shared" ca="1" si="73"/>
        <v>1.2543548076815121</v>
      </c>
      <c r="T102" s="27">
        <f t="shared" ca="1" si="73"/>
        <v>1.2926956184813889</v>
      </c>
      <c r="U102" s="27">
        <f t="shared" ca="1" si="73"/>
        <v>1.3334683861613392</v>
      </c>
    </row>
    <row r="103" spans="1:21" x14ac:dyDescent="0.2">
      <c r="A103" s="18" t="s">
        <v>340</v>
      </c>
    </row>
    <row r="104" spans="1:21" ht="15" x14ac:dyDescent="0.25">
      <c r="A104" s="2" t="s">
        <v>680</v>
      </c>
      <c r="D104" s="34">
        <f t="shared" ref="D104:U104" si="74">SUM(D$328,-D$40)</f>
        <v>4.3289999999999997</v>
      </c>
      <c r="E104" s="34">
        <f t="shared" si="74"/>
        <v>-7.5069999999999997</v>
      </c>
      <c r="F104" s="34">
        <f t="shared" si="74"/>
        <v>7.6779999999999999</v>
      </c>
      <c r="G104" s="33">
        <f t="shared" si="74"/>
        <v>3.6550000000000007</v>
      </c>
      <c r="H104" s="33">
        <f t="shared" si="74"/>
        <v>2.7869999999999999</v>
      </c>
      <c r="I104" s="33">
        <f t="shared" si="74"/>
        <v>3.1339999999999999</v>
      </c>
      <c r="J104" s="33">
        <f t="shared" si="74"/>
        <v>3.548</v>
      </c>
      <c r="K104" s="33">
        <f t="shared" si="74"/>
        <v>4.0330000000000004</v>
      </c>
      <c r="L104" s="37">
        <f t="shared" ca="1" si="74"/>
        <v>3.6005643847832016</v>
      </c>
      <c r="M104" s="37">
        <f t="shared" ca="1" si="74"/>
        <v>4.0353821762152009</v>
      </c>
      <c r="N104" s="37">
        <f t="shared" ca="1" si="74"/>
        <v>4.5043439754169139</v>
      </c>
      <c r="O104" s="37">
        <f t="shared" ca="1" si="74"/>
        <v>5.0061751962340875</v>
      </c>
      <c r="P104" s="37">
        <f t="shared" ca="1" si="74"/>
        <v>5.5407809100181984</v>
      </c>
      <c r="Q104" s="37">
        <f t="shared" ca="1" si="74"/>
        <v>5.9784322958660736</v>
      </c>
      <c r="R104" s="37">
        <f t="shared" ca="1" si="74"/>
        <v>6.4142544808594062</v>
      </c>
      <c r="S104" s="37">
        <f t="shared" ca="1" si="74"/>
        <v>6.8591533630158255</v>
      </c>
      <c r="T104" s="37">
        <f t="shared" ca="1" si="74"/>
        <v>7.3162374131483947</v>
      </c>
      <c r="U104" s="37">
        <f t="shared" ca="1" si="74"/>
        <v>7.7862805721794643</v>
      </c>
    </row>
    <row r="105" spans="1:21" x14ac:dyDescent="0.2">
      <c r="A105" s="1" t="s">
        <v>1283</v>
      </c>
      <c r="D105" s="53">
        <f t="shared" ref="D105:U105" si="75">D$206</f>
        <v>4.0449999999999999</v>
      </c>
      <c r="E105" s="53">
        <f t="shared" si="75"/>
        <v>4.1669999999999998</v>
      </c>
      <c r="F105" s="53">
        <f t="shared" si="75"/>
        <v>4.3610000000000007</v>
      </c>
      <c r="G105" s="43">
        <f t="shared" si="75"/>
        <v>4.7770000000000001</v>
      </c>
      <c r="H105" s="43">
        <f t="shared" si="75"/>
        <v>4.84</v>
      </c>
      <c r="I105" s="43">
        <f t="shared" si="75"/>
        <v>4.8499999999999996</v>
      </c>
      <c r="J105" s="43">
        <f t="shared" si="75"/>
        <v>4.9210000000000003</v>
      </c>
      <c r="K105" s="43">
        <f t="shared" si="75"/>
        <v>4.9830000000000005</v>
      </c>
      <c r="L105" s="44">
        <f t="shared" ca="1" si="75"/>
        <v>5.2256934820093939</v>
      </c>
      <c r="M105" s="44">
        <f t="shared" ca="1" si="75"/>
        <v>5.4044318759016239</v>
      </c>
      <c r="N105" s="44">
        <f t="shared" ca="1" si="75"/>
        <v>5.6484514438797353</v>
      </c>
      <c r="O105" s="44">
        <f t="shared" ca="1" si="75"/>
        <v>5.9526830107350506</v>
      </c>
      <c r="P105" s="44">
        <f t="shared" ca="1" si="75"/>
        <v>6.3139193671659744</v>
      </c>
      <c r="Q105" s="44">
        <f t="shared" ca="1" si="75"/>
        <v>6.7324122205171752</v>
      </c>
      <c r="R105" s="44">
        <f t="shared" ca="1" si="75"/>
        <v>7.169638727544692</v>
      </c>
      <c r="S105" s="44">
        <f t="shared" ca="1" si="75"/>
        <v>7.6264138978422347</v>
      </c>
      <c r="T105" s="44">
        <f t="shared" ca="1" si="75"/>
        <v>8.1035928603353788</v>
      </c>
      <c r="U105" s="44">
        <f t="shared" ca="1" si="75"/>
        <v>8.6020679974506962</v>
      </c>
    </row>
    <row r="106" spans="1:21" x14ac:dyDescent="0.2">
      <c r="A106" s="1" t="s">
        <v>1264</v>
      </c>
      <c r="B106" s="4"/>
      <c r="D106" s="53">
        <f>D$210</f>
        <v>0.79700000000000004</v>
      </c>
      <c r="E106" s="53">
        <f t="shared" ref="E106:U106" si="76">E$210</f>
        <v>0.70799999999999996</v>
      </c>
      <c r="F106" s="53">
        <f t="shared" si="76"/>
        <v>0.81399999999999995</v>
      </c>
      <c r="G106" s="43">
        <f t="shared" si="76"/>
        <v>0.72</v>
      </c>
      <c r="H106" s="43">
        <f t="shared" si="76"/>
        <v>0.72899999999999998</v>
      </c>
      <c r="I106" s="43">
        <f t="shared" si="76"/>
        <v>0.72499999999999998</v>
      </c>
      <c r="J106" s="43">
        <f t="shared" si="76"/>
        <v>0.73099999999999998</v>
      </c>
      <c r="K106" s="43">
        <f t="shared" si="76"/>
        <v>0.751</v>
      </c>
      <c r="L106" s="44">
        <f t="shared" ca="1" si="76"/>
        <v>0.77863412044996039</v>
      </c>
      <c r="M106" s="44">
        <f t="shared" ca="1" si="76"/>
        <v>0.82547983124444568</v>
      </c>
      <c r="N106" s="44">
        <f t="shared" ca="1" si="76"/>
        <v>0.87114826183628291</v>
      </c>
      <c r="O106" s="44">
        <f t="shared" ca="1" si="76"/>
        <v>0.91544434872048175</v>
      </c>
      <c r="P106" s="44">
        <f t="shared" ca="1" si="76"/>
        <v>0.95834490489573432</v>
      </c>
      <c r="Q106" s="44">
        <f t="shared" ca="1" si="76"/>
        <v>0.99952456642166543</v>
      </c>
      <c r="R106" s="44">
        <f t="shared" ca="1" si="76"/>
        <v>1.0420042186566965</v>
      </c>
      <c r="S106" s="44">
        <f t="shared" ca="1" si="76"/>
        <v>1.0859103780668309</v>
      </c>
      <c r="T106" s="44">
        <f t="shared" ca="1" si="76"/>
        <v>1.1312829983382029</v>
      </c>
      <c r="U106" s="44">
        <f t="shared" ca="1" si="76"/>
        <v>1.1782592382401993</v>
      </c>
    </row>
    <row r="107" spans="1:21" x14ac:dyDescent="0.2">
      <c r="A107" s="1" t="s">
        <v>1284</v>
      </c>
      <c r="B107" s="4" t="str">
        <f t="shared" ref="B107:B118" si="77">$B$37</f>
        <v>From Fiscal</v>
      </c>
      <c r="D107" s="14">
        <f>-'Fiscal Forecasts'!D$99</f>
        <v>0.69599999999999995</v>
      </c>
      <c r="E107" s="14">
        <f>-'Fiscal Forecasts'!E$99</f>
        <v>0.747</v>
      </c>
      <c r="F107" s="14">
        <f>-'Fiscal Forecasts'!F$99</f>
        <v>0.753</v>
      </c>
      <c r="G107" s="43">
        <f>-'Fiscal Forecasts'!G$99</f>
        <v>1.0489999999999999</v>
      </c>
      <c r="H107" s="43">
        <f>-'Fiscal Forecasts'!H$99</f>
        <v>0.76200000000000001</v>
      </c>
      <c r="I107" s="43">
        <f>-'Fiscal Forecasts'!I$99</f>
        <v>0.77600000000000002</v>
      </c>
      <c r="J107" s="43">
        <f>-'Fiscal Forecasts'!J$99</f>
        <v>0.77800000000000002</v>
      </c>
      <c r="K107" s="43">
        <f>-'Fiscal Forecasts'!K$99</f>
        <v>0.73099999999999998</v>
      </c>
      <c r="L107" s="6">
        <f t="shared" ref="L107:U107" si="78">L$254</f>
        <v>0.70199999999999996</v>
      </c>
      <c r="M107" s="6">
        <f t="shared" si="78"/>
        <v>0.72399999999999998</v>
      </c>
      <c r="N107" s="6">
        <f t="shared" si="78"/>
        <v>0.745</v>
      </c>
      <c r="O107" s="6">
        <f t="shared" si="78"/>
        <v>0.76600000000000001</v>
      </c>
      <c r="P107" s="6">
        <f t="shared" si="78"/>
        <v>0.78900000000000003</v>
      </c>
      <c r="Q107" s="6">
        <f t="shared" si="78"/>
        <v>0.81399999999999995</v>
      </c>
      <c r="R107" s="6">
        <f t="shared" si="78"/>
        <v>0.83799999999999997</v>
      </c>
      <c r="S107" s="6">
        <f t="shared" si="78"/>
        <v>0.86099999999999999</v>
      </c>
      <c r="T107" s="6">
        <f t="shared" si="78"/>
        <v>0.88400000000000001</v>
      </c>
      <c r="U107" s="6">
        <f t="shared" si="78"/>
        <v>0.90600000000000003</v>
      </c>
    </row>
    <row r="108" spans="1:21" x14ac:dyDescent="0.2">
      <c r="A108" s="1" t="s">
        <v>1285</v>
      </c>
      <c r="B108" s="4" t="str">
        <f t="shared" si="77"/>
        <v>From Fiscal</v>
      </c>
      <c r="D108" s="14">
        <f>-'Fiscal Forecasts'!D$100</f>
        <v>0.30499999999999999</v>
      </c>
      <c r="E108" s="14">
        <f>-'Fiscal Forecasts'!E$100</f>
        <v>0.16900000000000001</v>
      </c>
      <c r="F108" s="14">
        <f>-'Fiscal Forecasts'!F$100</f>
        <v>-0.05</v>
      </c>
      <c r="G108" s="43">
        <f>-'Fiscal Forecasts'!G$100</f>
        <v>-9.9000000000000005E-2</v>
      </c>
      <c r="H108" s="43">
        <f>-'Fiscal Forecasts'!H$100</f>
        <v>1.6E-2</v>
      </c>
      <c r="I108" s="43">
        <f>-'Fiscal Forecasts'!I$100</f>
        <v>1.6E-2</v>
      </c>
      <c r="J108" s="43">
        <f>-'Fiscal Forecasts'!J$100</f>
        <v>1.7999999999999999E-2</v>
      </c>
      <c r="K108" s="43">
        <f>-'Fiscal Forecasts'!K$100</f>
        <v>1.7999999999999999E-2</v>
      </c>
      <c r="L108" s="6">
        <f ca="1">IF(L$6&lt;OFFSET(Assumptions!$B$8,0,$C$1),K$108,0)</f>
        <v>0</v>
      </c>
      <c r="M108" s="6">
        <f ca="1">IF(M$6&lt;OFFSET(Assumptions!$B$8,0,$C$1),L$108,0)</f>
        <v>0</v>
      </c>
      <c r="N108" s="6">
        <f ca="1">IF(N$6&lt;OFFSET(Assumptions!$B$8,0,$C$1),M$108,0)</f>
        <v>0</v>
      </c>
      <c r="O108" s="6">
        <f ca="1">IF(O$6&lt;OFFSET(Assumptions!$B$8,0,$C$1),N$108,0)</f>
        <v>0</v>
      </c>
      <c r="P108" s="6">
        <f ca="1">IF(P$6&lt;OFFSET(Assumptions!$B$8,0,$C$1),O$108,0)</f>
        <v>0</v>
      </c>
      <c r="Q108" s="6">
        <f ca="1">IF(Q$6&lt;OFFSET(Assumptions!$B$8,0,$C$1),P$108,0)</f>
        <v>0</v>
      </c>
      <c r="R108" s="6">
        <f ca="1">IF(R$6&lt;OFFSET(Assumptions!$B$8,0,$C$1),Q$108,0)</f>
        <v>0</v>
      </c>
      <c r="S108" s="6">
        <f ca="1">IF(S$6&lt;OFFSET(Assumptions!$B$8,0,$C$1),R$108,0)</f>
        <v>0</v>
      </c>
      <c r="T108" s="6">
        <f ca="1">IF(T$6&lt;OFFSET(Assumptions!$B$8,0,$C$1),S$108,0)</f>
        <v>0</v>
      </c>
      <c r="U108" s="6">
        <f ca="1">IF(U$6&lt;OFFSET(Assumptions!$B$8,0,$C$1),T$108,0)</f>
        <v>0</v>
      </c>
    </row>
    <row r="109" spans="1:21" x14ac:dyDescent="0.2">
      <c r="A109" s="1" t="s">
        <v>688</v>
      </c>
      <c r="B109" s="4" t="str">
        <f t="shared" si="77"/>
        <v>From Fiscal</v>
      </c>
      <c r="D109" s="14">
        <f>-'Fiscal Forecasts'!D$101</f>
        <v>-0.373</v>
      </c>
      <c r="E109" s="14">
        <f>-'Fiscal Forecasts'!E$101</f>
        <v>-0.42</v>
      </c>
      <c r="F109" s="14">
        <f>-'Fiscal Forecasts'!F$101</f>
        <v>-0.47199999999999998</v>
      </c>
      <c r="G109" s="15">
        <f>-'Fiscal Forecasts'!G$101</f>
        <v>-0.57599999999999996</v>
      </c>
      <c r="H109" s="15">
        <f>-'Fiscal Forecasts'!H$101</f>
        <v>-0.59199999999999997</v>
      </c>
      <c r="I109" s="15">
        <f>-'Fiscal Forecasts'!I$101</f>
        <v>-0.57199999999999995</v>
      </c>
      <c r="J109" s="15">
        <f>-'Fiscal Forecasts'!J$101</f>
        <v>-0.54</v>
      </c>
      <c r="K109" s="15">
        <f>-'Fiscal Forecasts'!K$101</f>
        <v>-0.51400000000000001</v>
      </c>
      <c r="L109" s="44">
        <f t="shared" ref="L109:U109" ca="1" si="79">L$467-K$467</f>
        <v>-0.28768139404159498</v>
      </c>
      <c r="M109" s="44">
        <f t="shared" ca="1" si="79"/>
        <v>-0.28192242833052461</v>
      </c>
      <c r="N109" s="44">
        <f t="shared" ca="1" si="79"/>
        <v>-0.27722372119167904</v>
      </c>
      <c r="O109" s="44">
        <f t="shared" ca="1" si="79"/>
        <v>-0.26876604834176465</v>
      </c>
      <c r="P109" s="44">
        <f t="shared" ca="1" si="79"/>
        <v>-0.26312759977515565</v>
      </c>
      <c r="Q109" s="44">
        <f t="shared" ca="1" si="79"/>
        <v>-0.26030837549184849</v>
      </c>
      <c r="R109" s="44">
        <f t="shared" ca="1" si="79"/>
        <v>-0.26688656548622891</v>
      </c>
      <c r="S109" s="44">
        <f t="shared" ca="1" si="79"/>
        <v>-0.27158527262506915</v>
      </c>
      <c r="T109" s="44">
        <f t="shared" ca="1" si="79"/>
        <v>-0.2772237211916817</v>
      </c>
      <c r="U109" s="44">
        <f t="shared" ca="1" si="79"/>
        <v>-0.28004294547498532</v>
      </c>
    </row>
    <row r="110" spans="1:21" x14ac:dyDescent="0.2">
      <c r="A110" s="1" t="s">
        <v>689</v>
      </c>
      <c r="B110" s="4" t="str">
        <f t="shared" si="77"/>
        <v>From Fiscal</v>
      </c>
      <c r="D110" s="14">
        <f>-'Fiscal Forecasts'!D$102</f>
        <v>-0.746</v>
      </c>
      <c r="E110" s="14">
        <f>-'Fiscal Forecasts'!E$102</f>
        <v>0.59699999999999998</v>
      </c>
      <c r="F110" s="14">
        <f>-'Fiscal Forecasts'!F$102</f>
        <v>1.0469999999999999</v>
      </c>
      <c r="G110" s="15">
        <f>-'Fiscal Forecasts'!G$102</f>
        <v>0.44</v>
      </c>
      <c r="H110" s="15">
        <f>-'Fiscal Forecasts'!H$102</f>
        <v>0.623</v>
      </c>
      <c r="I110" s="15">
        <f>-'Fiscal Forecasts'!I$102</f>
        <v>1.538</v>
      </c>
      <c r="J110" s="15">
        <f>-'Fiscal Forecasts'!J$102</f>
        <v>1.9259999999999999</v>
      </c>
      <c r="K110" s="15">
        <f>-'Fiscal Forecasts'!K$102</f>
        <v>2.0379999999999998</v>
      </c>
      <c r="L110" s="44">
        <f t="shared" ref="L110:U110" ca="1" si="80">L$462-K$462</f>
        <v>2.0669997358424936</v>
      </c>
      <c r="M110" s="44">
        <f t="shared" ca="1" si="80"/>
        <v>2.1592265357628406</v>
      </c>
      <c r="N110" s="44">
        <f t="shared" ca="1" si="80"/>
        <v>2.2941070318452219</v>
      </c>
      <c r="O110" s="44">
        <f t="shared" ca="1" si="80"/>
        <v>2.4292805036189904</v>
      </c>
      <c r="P110" s="44">
        <f t="shared" ca="1" si="80"/>
        <v>2.5605610843029396</v>
      </c>
      <c r="Q110" s="44">
        <f t="shared" ca="1" si="80"/>
        <v>2.7009397650115758</v>
      </c>
      <c r="R110" s="44">
        <f t="shared" ca="1" si="80"/>
        <v>2.8207246354974842</v>
      </c>
      <c r="S110" s="44">
        <f t="shared" ca="1" si="80"/>
        <v>2.9838773839523185</v>
      </c>
      <c r="T110" s="44">
        <f t="shared" ca="1" si="80"/>
        <v>3.1526533945388593</v>
      </c>
      <c r="U110" s="44">
        <f t="shared" ca="1" si="80"/>
        <v>3.3246050506756859</v>
      </c>
    </row>
    <row r="111" spans="1:21" x14ac:dyDescent="0.2">
      <c r="A111" s="1" t="s">
        <v>690</v>
      </c>
      <c r="B111" s="4" t="str">
        <f t="shared" si="77"/>
        <v>From Fiscal</v>
      </c>
      <c r="D111" s="14">
        <f>-'Fiscal Forecasts'!D$103</f>
        <v>-0.69899999999999995</v>
      </c>
      <c r="E111" s="14">
        <f>-'Fiscal Forecasts'!E$103</f>
        <v>8.5000000000000006E-2</v>
      </c>
      <c r="F111" s="14">
        <f>-'Fiscal Forecasts'!F$103</f>
        <v>-0.25800000000000001</v>
      </c>
      <c r="G111" s="15">
        <f>-'Fiscal Forecasts'!G$103</f>
        <v>-0.215</v>
      </c>
      <c r="H111" s="15">
        <f>-'Fiscal Forecasts'!H$103</f>
        <v>-0.26400000000000001</v>
      </c>
      <c r="I111" s="15">
        <f>-'Fiscal Forecasts'!I$103</f>
        <v>-0.28599999999999998</v>
      </c>
      <c r="J111" s="15">
        <f>-'Fiscal Forecasts'!J$103</f>
        <v>-0.29599999999999999</v>
      </c>
      <c r="K111" s="15">
        <f>-'Fiscal Forecasts'!K$103</f>
        <v>-0.311</v>
      </c>
      <c r="L111" s="44">
        <f t="shared" ref="L111:U111" ca="1" si="81">SUM(-L$332,L$37)</f>
        <v>0.17893584879984747</v>
      </c>
      <c r="M111" s="44">
        <f t="shared" ca="1" si="81"/>
        <v>0.17036013149300633</v>
      </c>
      <c r="N111" s="44">
        <f t="shared" ca="1" si="81"/>
        <v>0.16173824424206662</v>
      </c>
      <c r="O111" s="44">
        <f t="shared" ca="1" si="81"/>
        <v>0.1530128398847585</v>
      </c>
      <c r="P111" s="44">
        <f t="shared" ca="1" si="81"/>
        <v>0.14405441744661851</v>
      </c>
      <c r="Q111" s="44">
        <f t="shared" ca="1" si="81"/>
        <v>0.13484756159238809</v>
      </c>
      <c r="R111" s="44">
        <f t="shared" ca="1" si="81"/>
        <v>0.12543029018813728</v>
      </c>
      <c r="S111" s="44">
        <f t="shared" ca="1" si="81"/>
        <v>0.1157622419216997</v>
      </c>
      <c r="T111" s="44">
        <f t="shared" ca="1" si="81"/>
        <v>0.10583813146421917</v>
      </c>
      <c r="U111" s="44">
        <f t="shared" ca="1" si="81"/>
        <v>9.5614621831805024E-2</v>
      </c>
    </row>
    <row r="112" spans="1:21" ht="15" x14ac:dyDescent="0.25">
      <c r="A112" s="2" t="s">
        <v>679</v>
      </c>
      <c r="D112" s="34">
        <f>-SUM(D$105:D$111)</f>
        <v>-4.0249999999999986</v>
      </c>
      <c r="E112" s="34">
        <f t="shared" ref="E112:U112" si="82">-SUM(E$105:E$111)</f>
        <v>-6.0529999999999999</v>
      </c>
      <c r="F112" s="34">
        <f t="shared" si="82"/>
        <v>-6.1950000000000003</v>
      </c>
      <c r="G112" s="33">
        <f t="shared" si="82"/>
        <v>-6.0960000000000001</v>
      </c>
      <c r="H112" s="33">
        <f t="shared" si="82"/>
        <v>-6.1139999999999999</v>
      </c>
      <c r="I112" s="33">
        <f t="shared" si="82"/>
        <v>-7.0469999999999997</v>
      </c>
      <c r="J112" s="33">
        <f t="shared" si="82"/>
        <v>-7.5379999999999994</v>
      </c>
      <c r="K112" s="33">
        <f t="shared" si="82"/>
        <v>-7.6959999999999997</v>
      </c>
      <c r="L112" s="37">
        <f t="shared" ca="1" si="82"/>
        <v>-8.6645817930600995</v>
      </c>
      <c r="M112" s="37">
        <f t="shared" ca="1" si="82"/>
        <v>-9.0015759460713909</v>
      </c>
      <c r="N112" s="37">
        <f t="shared" ca="1" si="82"/>
        <v>-9.4432212606116277</v>
      </c>
      <c r="O112" s="37">
        <f t="shared" ca="1" si="82"/>
        <v>-9.9476546546175157</v>
      </c>
      <c r="P112" s="37">
        <f t="shared" ca="1" si="82"/>
        <v>-10.502752174036111</v>
      </c>
      <c r="Q112" s="37">
        <f t="shared" ca="1" si="82"/>
        <v>-11.121415738050956</v>
      </c>
      <c r="R112" s="37">
        <f t="shared" ca="1" si="82"/>
        <v>-11.728911306400782</v>
      </c>
      <c r="S112" s="37">
        <f t="shared" ca="1" si="82"/>
        <v>-12.401378629158014</v>
      </c>
      <c r="T112" s="37">
        <f t="shared" ca="1" si="82"/>
        <v>-13.10014366348498</v>
      </c>
      <c r="U112" s="37">
        <f t="shared" ca="1" si="82"/>
        <v>-13.826503962723402</v>
      </c>
    </row>
    <row r="113" spans="1:21" x14ac:dyDescent="0.2">
      <c r="A113" s="1" t="s">
        <v>201</v>
      </c>
      <c r="B113" s="4" t="str">
        <f t="shared" si="77"/>
        <v>From Fiscal</v>
      </c>
      <c r="D113" s="14">
        <f>'Fiscal Forecasts'!D$105</f>
        <v>0.14099999999999999</v>
      </c>
      <c r="E113" s="14">
        <f>'Fiscal Forecasts'!E$105</f>
        <v>-0.53200000000000003</v>
      </c>
      <c r="F113" s="14">
        <f>'Fiscal Forecasts'!F$105</f>
        <v>1.17</v>
      </c>
      <c r="G113" s="15">
        <f>'Fiscal Forecasts'!G$105</f>
        <v>0.84799999999999998</v>
      </c>
      <c r="H113" s="15">
        <f>'Fiscal Forecasts'!H$105</f>
        <v>1.27</v>
      </c>
      <c r="I113" s="15">
        <f>'Fiscal Forecasts'!I$105</f>
        <v>1.18</v>
      </c>
      <c r="J113" s="15">
        <f>'Fiscal Forecasts'!J$105</f>
        <v>1.831</v>
      </c>
      <c r="K113" s="15">
        <f>'Fiscal Forecasts'!K$105</f>
        <v>1.5940000000000001</v>
      </c>
      <c r="L113" s="44">
        <f t="shared" ref="L113:U113" ca="1" si="83">L$345-K$345</f>
        <v>1.1624820199658252</v>
      </c>
      <c r="M113" s="44">
        <f t="shared" ca="1" si="83"/>
        <v>1.286659268024593</v>
      </c>
      <c r="N113" s="44">
        <f t="shared" ca="1" si="83"/>
        <v>1.2726267158411417</v>
      </c>
      <c r="O113" s="44">
        <f t="shared" ca="1" si="83"/>
        <v>1.3056633316309529</v>
      </c>
      <c r="P113" s="44">
        <f t="shared" ca="1" si="83"/>
        <v>1.343845876748496</v>
      </c>
      <c r="Q113" s="44">
        <f t="shared" ca="1" si="83"/>
        <v>1.3802203833054136</v>
      </c>
      <c r="R113" s="44">
        <f t="shared" ca="1" si="83"/>
        <v>1.4146798135941054</v>
      </c>
      <c r="S113" s="44">
        <f t="shared" ca="1" si="83"/>
        <v>1.4524779714759575</v>
      </c>
      <c r="T113" s="44">
        <f t="shared" ca="1" si="83"/>
        <v>1.4919700327417402</v>
      </c>
      <c r="U113" s="44">
        <f t="shared" ca="1" si="83"/>
        <v>1.5327097454672014</v>
      </c>
    </row>
    <row r="114" spans="1:21" x14ac:dyDescent="0.2">
      <c r="A114" s="1" t="s">
        <v>202</v>
      </c>
      <c r="B114" s="4" t="str">
        <f t="shared" si="77"/>
        <v>From Fiscal</v>
      </c>
      <c r="D114" s="14">
        <f>'Fiscal Forecasts'!D$106</f>
        <v>0.19600000000000001</v>
      </c>
      <c r="E114" s="14">
        <f>'Fiscal Forecasts'!E$106</f>
        <v>0.16900000000000001</v>
      </c>
      <c r="F114" s="14">
        <f>'Fiscal Forecasts'!F$106</f>
        <v>0.312</v>
      </c>
      <c r="G114" s="15">
        <f>'Fiscal Forecasts'!G$106</f>
        <v>0.28899999999999998</v>
      </c>
      <c r="H114" s="15">
        <f>'Fiscal Forecasts'!H$106</f>
        <v>0.48499999999999999</v>
      </c>
      <c r="I114" s="15">
        <f>'Fiscal Forecasts'!I$106</f>
        <v>0.30599999999999999</v>
      </c>
      <c r="J114" s="15">
        <f>'Fiscal Forecasts'!J$106</f>
        <v>0.30499999999999999</v>
      </c>
      <c r="K114" s="15">
        <f>'Fiscal Forecasts'!K$106</f>
        <v>7.1999999999999995E-2</v>
      </c>
      <c r="L114" s="44">
        <f ca="1">L$147-L$323</f>
        <v>0.30486108863905492</v>
      </c>
      <c r="M114" s="44">
        <f t="shared" ref="M114:U114" ca="1" si="84">M$147-M$323</f>
        <v>0.31491484132364433</v>
      </c>
      <c r="N114" s="44">
        <f t="shared" ca="1" si="84"/>
        <v>0.31575175226937596</v>
      </c>
      <c r="O114" s="44">
        <f t="shared" ca="1" si="84"/>
        <v>0.31532842787556692</v>
      </c>
      <c r="P114" s="44">
        <f t="shared" ca="1" si="84"/>
        <v>0.31155114808656204</v>
      </c>
      <c r="Q114" s="44">
        <f t="shared" ca="1" si="84"/>
        <v>0.30640274436415771</v>
      </c>
      <c r="R114" s="44">
        <f t="shared" ca="1" si="84"/>
        <v>0.3029023993988344</v>
      </c>
      <c r="S114" s="44">
        <f t="shared" ca="1" si="84"/>
        <v>0.30001586189788415</v>
      </c>
      <c r="T114" s="44">
        <f t="shared" ca="1" si="84"/>
        <v>0.29873231536095901</v>
      </c>
      <c r="U114" s="44">
        <f t="shared" ca="1" si="84"/>
        <v>0.29601462734746742</v>
      </c>
    </row>
    <row r="115" spans="1:21" x14ac:dyDescent="0.2">
      <c r="A115" s="1" t="s">
        <v>203</v>
      </c>
      <c r="B115" s="4" t="str">
        <f t="shared" si="77"/>
        <v>From Fiscal</v>
      </c>
      <c r="D115" s="14">
        <f>'Fiscal Forecasts'!D$107</f>
        <v>-0.105</v>
      </c>
      <c r="E115" s="14">
        <f>'Fiscal Forecasts'!E$107</f>
        <v>0.115</v>
      </c>
      <c r="F115" s="14">
        <f>'Fiscal Forecasts'!F$107</f>
        <v>5.7000000000000002E-2</v>
      </c>
      <c r="G115" s="15">
        <f>'Fiscal Forecasts'!G$107</f>
        <v>-0.107</v>
      </c>
      <c r="H115" s="15">
        <f>'Fiscal Forecasts'!H$107</f>
        <v>-2.3E-2</v>
      </c>
      <c r="I115" s="15">
        <f>'Fiscal Forecasts'!I$107</f>
        <v>-2.7E-2</v>
      </c>
      <c r="J115" s="15">
        <f>'Fiscal Forecasts'!J$107</f>
        <v>2.7E-2</v>
      </c>
      <c r="K115" s="15">
        <f>'Fiscal Forecasts'!K$107</f>
        <v>2.3E-2</v>
      </c>
      <c r="L115" s="44">
        <f t="shared" ref="L115:U115" ca="1" si="85">L$399-K$399</f>
        <v>3.1320531918016536E-2</v>
      </c>
      <c r="M115" s="44">
        <f t="shared" ca="1" si="85"/>
        <v>3.2046752728574823E-2</v>
      </c>
      <c r="N115" s="44">
        <f t="shared" ca="1" si="85"/>
        <v>3.2802806968807108E-2</v>
      </c>
      <c r="O115" s="44">
        <f t="shared" ca="1" si="85"/>
        <v>3.352069400193658E-2</v>
      </c>
      <c r="P115" s="44">
        <f t="shared" ca="1" si="85"/>
        <v>3.4189539038402605E-2</v>
      </c>
      <c r="Q115" s="44">
        <f t="shared" ca="1" si="85"/>
        <v>3.4876850304147888E-2</v>
      </c>
      <c r="R115" s="44">
        <f t="shared" ca="1" si="85"/>
        <v>3.5500144396908961E-2</v>
      </c>
      <c r="S115" s="44">
        <f t="shared" ca="1" si="85"/>
        <v>3.6106925385131161E-2</v>
      </c>
      <c r="T115" s="44">
        <f t="shared" ca="1" si="85"/>
        <v>3.6752209718210915E-2</v>
      </c>
      <c r="U115" s="44">
        <f t="shared" ca="1" si="85"/>
        <v>3.7312358264733447E-2</v>
      </c>
    </row>
    <row r="116" spans="1:21" x14ac:dyDescent="0.2">
      <c r="A116" s="1" t="s">
        <v>204</v>
      </c>
      <c r="B116" s="4" t="str">
        <f t="shared" si="77"/>
        <v>From Fiscal</v>
      </c>
      <c r="D116" s="14">
        <f>'Fiscal Forecasts'!D$108</f>
        <v>-1.2E-2</v>
      </c>
      <c r="E116" s="14">
        <f>'Fiscal Forecasts'!E$108</f>
        <v>7.0000000000000007E-2</v>
      </c>
      <c r="F116" s="14">
        <f>'Fiscal Forecasts'!F$108</f>
        <v>0.151</v>
      </c>
      <c r="G116" s="15">
        <f>'Fiscal Forecasts'!G$108</f>
        <v>-0.03</v>
      </c>
      <c r="H116" s="15">
        <f>'Fiscal Forecasts'!H$108</f>
        <v>-7.0000000000000001E-3</v>
      </c>
      <c r="I116" s="15">
        <f>'Fiscal Forecasts'!I$108</f>
        <v>-1.2E-2</v>
      </c>
      <c r="J116" s="15">
        <f>'Fiscal Forecasts'!J$108</f>
        <v>5.0000000000000001E-3</v>
      </c>
      <c r="K116" s="15">
        <f>'Fiscal Forecasts'!K$108</f>
        <v>1.4E-2</v>
      </c>
      <c r="L116" s="44">
        <f t="shared" ref="L116:U116" ca="1" si="86">L$403-K$403</f>
        <v>8.1883356602300061E-2</v>
      </c>
      <c r="M116" s="44">
        <f t="shared" ca="1" si="86"/>
        <v>8.3781964127824349E-2</v>
      </c>
      <c r="N116" s="44">
        <f t="shared" ca="1" si="86"/>
        <v>8.5758567179320178E-2</v>
      </c>
      <c r="O116" s="44">
        <f t="shared" ca="1" si="86"/>
        <v>8.7635387154400668E-2</v>
      </c>
      <c r="P116" s="44">
        <f t="shared" ca="1" si="86"/>
        <v>8.9383993365048653E-2</v>
      </c>
      <c r="Q116" s="44">
        <f t="shared" ca="1" si="86"/>
        <v>9.118087707114686E-2</v>
      </c>
      <c r="R116" s="44">
        <f t="shared" ca="1" si="86"/>
        <v>9.2810396410066609E-2</v>
      </c>
      <c r="S116" s="44">
        <f t="shared" ca="1" si="86"/>
        <v>9.4396744437875935E-2</v>
      </c>
      <c r="T116" s="44">
        <f t="shared" ca="1" si="86"/>
        <v>9.6083754329461701E-2</v>
      </c>
      <c r="U116" s="44">
        <f t="shared" ca="1" si="86"/>
        <v>9.7548188053169227E-2</v>
      </c>
    </row>
    <row r="117" spans="1:21" x14ac:dyDescent="0.2">
      <c r="A117" s="1" t="s">
        <v>691</v>
      </c>
      <c r="B117" s="4" t="str">
        <f t="shared" si="77"/>
        <v>From Fiscal</v>
      </c>
      <c r="D117" s="14">
        <f>-'Fiscal Forecasts'!D$109</f>
        <v>0.14899999999999999</v>
      </c>
      <c r="E117" s="14">
        <f>-'Fiscal Forecasts'!E$109</f>
        <v>6.6000000000000003E-2</v>
      </c>
      <c r="F117" s="14">
        <f>-'Fiscal Forecasts'!F$109</f>
        <v>4.5999999999999999E-2</v>
      </c>
      <c r="G117" s="15">
        <f>-'Fiscal Forecasts'!G$109</f>
        <v>8.3000000000000004E-2</v>
      </c>
      <c r="H117" s="15">
        <f>-'Fiscal Forecasts'!H$109</f>
        <v>0.108</v>
      </c>
      <c r="I117" s="15">
        <f>-'Fiscal Forecasts'!I$109</f>
        <v>2.3E-2</v>
      </c>
      <c r="J117" s="15">
        <f>-'Fiscal Forecasts'!J$109</f>
        <v>5.8000000000000003E-2</v>
      </c>
      <c r="K117" s="15">
        <f>-'Fiscal Forecasts'!K$109</f>
        <v>5.0999999999999997E-2</v>
      </c>
      <c r="L117" s="44">
        <f t="shared" ref="L117:U117" ca="1" si="87">L$456-K$456</f>
        <v>0.11320388852031682</v>
      </c>
      <c r="M117" s="44">
        <f t="shared" ca="1" si="87"/>
        <v>0.11582871685639917</v>
      </c>
      <c r="N117" s="44">
        <f t="shared" ca="1" si="87"/>
        <v>0.11856137414812729</v>
      </c>
      <c r="O117" s="44">
        <f t="shared" ca="1" si="87"/>
        <v>0.12115608115633725</v>
      </c>
      <c r="P117" s="44">
        <f t="shared" ca="1" si="87"/>
        <v>0.12357353240345148</v>
      </c>
      <c r="Q117" s="44">
        <f t="shared" ca="1" si="87"/>
        <v>0.12605772737529453</v>
      </c>
      <c r="R117" s="44">
        <f t="shared" ca="1" si="87"/>
        <v>0.12831054080697557</v>
      </c>
      <c r="S117" s="44">
        <f t="shared" ca="1" si="87"/>
        <v>0.13050366982300687</v>
      </c>
      <c r="T117" s="44">
        <f t="shared" ca="1" si="87"/>
        <v>0.13283596404767284</v>
      </c>
      <c r="U117" s="44">
        <f t="shared" ca="1" si="87"/>
        <v>0.13486054631790267</v>
      </c>
    </row>
    <row r="118" spans="1:21" x14ac:dyDescent="0.2">
      <c r="A118" s="1" t="s">
        <v>692</v>
      </c>
      <c r="B118" s="4" t="str">
        <f t="shared" si="77"/>
        <v>From Fiscal</v>
      </c>
      <c r="D118" s="14">
        <f>-'Fiscal Forecasts'!D$110</f>
        <v>0.19600000000000001</v>
      </c>
      <c r="E118" s="14">
        <f>-'Fiscal Forecasts'!E$110</f>
        <v>8.1000000000000003E-2</v>
      </c>
      <c r="F118" s="14">
        <f>-'Fiscal Forecasts'!F$110</f>
        <v>0.377</v>
      </c>
      <c r="G118" s="15">
        <f>-'Fiscal Forecasts'!G$110</f>
        <v>0.39700000000000002</v>
      </c>
      <c r="H118" s="15">
        <f>-'Fiscal Forecasts'!H$110</f>
        <v>0.40799999999999997</v>
      </c>
      <c r="I118" s="15">
        <f>-'Fiscal Forecasts'!I$110</f>
        <v>-0.10100000000000001</v>
      </c>
      <c r="J118" s="15">
        <f>-'Fiscal Forecasts'!J$110</f>
        <v>0.98299999999999998</v>
      </c>
      <c r="K118" s="15">
        <f>-'Fiscal Forecasts'!K$110</f>
        <v>0.38700000000000001</v>
      </c>
      <c r="L118" s="44">
        <f t="shared" ref="L118:U118" ca="1" si="88">SUM(L$452-K$452,L$471-K$471)</f>
        <v>0.78868378863444288</v>
      </c>
      <c r="M118" s="44">
        <f t="shared" ca="1" si="88"/>
        <v>0.84267068541431378</v>
      </c>
      <c r="N118" s="44">
        <f t="shared" ca="1" si="88"/>
        <v>0.84991153442175005</v>
      </c>
      <c r="O118" s="44">
        <f t="shared" ca="1" si="88"/>
        <v>0.87212413517261211</v>
      </c>
      <c r="P118" s="44">
        <f t="shared" ca="1" si="88"/>
        <v>0.89558455020786276</v>
      </c>
      <c r="Q118" s="44">
        <f t="shared" ca="1" si="88"/>
        <v>0.91652283260121692</v>
      </c>
      <c r="R118" s="44">
        <f t="shared" ca="1" si="88"/>
        <v>0.93634390780367127</v>
      </c>
      <c r="S118" s="44">
        <f t="shared" ca="1" si="88"/>
        <v>0.95807909045341333</v>
      </c>
      <c r="T118" s="44">
        <f t="shared" ca="1" si="88"/>
        <v>0.98105828385284077</v>
      </c>
      <c r="U118" s="44">
        <f t="shared" ca="1" si="88"/>
        <v>1.0037406724666411</v>
      </c>
    </row>
    <row r="119" spans="1:21" ht="15" x14ac:dyDescent="0.25">
      <c r="A119" s="2" t="s">
        <v>207</v>
      </c>
      <c r="D119" s="34">
        <f>SUM(D$113:D$116,-D$117,-D$118)</f>
        <v>-0.12500000000000003</v>
      </c>
      <c r="E119" s="34">
        <f>SUM(E$113:E$116,-E$117,-E$118)</f>
        <v>-0.32500000000000001</v>
      </c>
      <c r="F119" s="34">
        <f>SUM(F$113:F$116,-F$117,-F$118)</f>
        <v>1.2669999999999999</v>
      </c>
      <c r="G119" s="33">
        <f t="shared" ref="G119:U119" si="89">SUM(G$113:G$116,-G$117,-G$118)</f>
        <v>0.52</v>
      </c>
      <c r="H119" s="33">
        <f t="shared" si="89"/>
        <v>1.2090000000000001</v>
      </c>
      <c r="I119" s="33">
        <f t="shared" si="89"/>
        <v>1.5250000000000001</v>
      </c>
      <c r="J119" s="33">
        <f t="shared" si="89"/>
        <v>1.1270000000000002</v>
      </c>
      <c r="K119" s="33">
        <f t="shared" si="89"/>
        <v>1.2650000000000001</v>
      </c>
      <c r="L119" s="37">
        <f t="shared" ca="1" si="89"/>
        <v>0.67865931997043716</v>
      </c>
      <c r="M119" s="37">
        <f t="shared" ca="1" si="89"/>
        <v>0.75890342393392363</v>
      </c>
      <c r="N119" s="37">
        <f t="shared" ca="1" si="89"/>
        <v>0.7384669336887677</v>
      </c>
      <c r="O119" s="37">
        <f t="shared" ca="1" si="89"/>
        <v>0.74886762433390786</v>
      </c>
      <c r="P119" s="37">
        <f t="shared" ca="1" si="89"/>
        <v>0.75981247462719503</v>
      </c>
      <c r="Q119" s="37">
        <f t="shared" ca="1" si="89"/>
        <v>0.77010029506835465</v>
      </c>
      <c r="R119" s="37">
        <f t="shared" ca="1" si="89"/>
        <v>0.78123830518926862</v>
      </c>
      <c r="S119" s="37">
        <f t="shared" ca="1" si="89"/>
        <v>0.79441474292042846</v>
      </c>
      <c r="T119" s="37">
        <f t="shared" ca="1" si="89"/>
        <v>0.80964406424985813</v>
      </c>
      <c r="U119" s="37">
        <f t="shared" ca="1" si="89"/>
        <v>0.82498370034802759</v>
      </c>
    </row>
    <row r="120" spans="1:21" ht="15" x14ac:dyDescent="0.25">
      <c r="A120" s="2" t="s">
        <v>1230</v>
      </c>
      <c r="D120" s="35">
        <f t="shared" ref="D120:U120" si="90">SUM(D$90,D$104,D$112,D$119)</f>
        <v>5.7710000000000008</v>
      </c>
      <c r="E120" s="35">
        <f t="shared" si="90"/>
        <v>-5.3689999999999802</v>
      </c>
      <c r="F120" s="35">
        <f t="shared" si="90"/>
        <v>12.317000000000021</v>
      </c>
      <c r="G120" s="36">
        <f t="shared" si="90"/>
        <v>6.997000000000007</v>
      </c>
      <c r="H120" s="36">
        <f t="shared" si="90"/>
        <v>6.773000000000005</v>
      </c>
      <c r="I120" s="36">
        <f t="shared" si="90"/>
        <v>8.8369999999999944</v>
      </c>
      <c r="J120" s="36">
        <f t="shared" si="90"/>
        <v>9.5669999999999948</v>
      </c>
      <c r="K120" s="36">
        <f t="shared" si="90"/>
        <v>11.651999999999999</v>
      </c>
      <c r="L120" s="27">
        <f t="shared" ca="1" si="90"/>
        <v>10.816077264252669</v>
      </c>
      <c r="M120" s="27">
        <f t="shared" ca="1" si="90"/>
        <v>11.989437047906769</v>
      </c>
      <c r="N120" s="27">
        <f t="shared" ca="1" si="90"/>
        <v>12.787693064542232</v>
      </c>
      <c r="O120" s="27">
        <f t="shared" ca="1" si="90"/>
        <v>13.575424657727165</v>
      </c>
      <c r="P120" s="27">
        <f t="shared" ca="1" si="90"/>
        <v>14.159788384317556</v>
      </c>
      <c r="Q120" s="27">
        <f t="shared" ca="1" si="90"/>
        <v>14.685393828326694</v>
      </c>
      <c r="R120" s="27">
        <f t="shared" ca="1" si="90"/>
        <v>14.989702438647647</v>
      </c>
      <c r="S120" s="27">
        <f t="shared" ca="1" si="90"/>
        <v>15.786067865215797</v>
      </c>
      <c r="T120" s="27">
        <f t="shared" ca="1" si="90"/>
        <v>16.435700653356708</v>
      </c>
      <c r="U120" s="27">
        <f t="shared" ca="1" si="90"/>
        <v>17.240357307091166</v>
      </c>
    </row>
    <row r="121" spans="1:21" ht="15" x14ac:dyDescent="0.25">
      <c r="A121" s="26" t="s">
        <v>342</v>
      </c>
      <c r="D121" s="5" t="str">
        <f t="shared" ref="D121:U121" ca="1" si="91">IF(ROUND(D$42-D$120,3)=0,"OK","ERROR")</f>
        <v>OK</v>
      </c>
      <c r="E121" s="5" t="str">
        <f t="shared" ca="1" si="91"/>
        <v>OK</v>
      </c>
      <c r="F121" s="5" t="str">
        <f t="shared" ca="1" si="91"/>
        <v>OK</v>
      </c>
      <c r="G121" s="5" t="str">
        <f t="shared" ca="1" si="91"/>
        <v>OK</v>
      </c>
      <c r="H121" s="5" t="str">
        <f t="shared" ca="1" si="91"/>
        <v>OK</v>
      </c>
      <c r="I121" s="5" t="str">
        <f t="shared" ca="1" si="91"/>
        <v>OK</v>
      </c>
      <c r="J121" s="5" t="str">
        <f t="shared" ca="1" si="91"/>
        <v>OK</v>
      </c>
      <c r="K121" s="5" t="str">
        <f t="shared" ca="1" si="91"/>
        <v>OK</v>
      </c>
      <c r="L121" s="5" t="str">
        <f t="shared" ca="1" si="91"/>
        <v>OK</v>
      </c>
      <c r="M121" s="5" t="str">
        <f t="shared" ca="1" si="91"/>
        <v>OK</v>
      </c>
      <c r="N121" s="5" t="str">
        <f t="shared" ca="1" si="91"/>
        <v>OK</v>
      </c>
      <c r="O121" s="5" t="str">
        <f t="shared" ca="1" si="91"/>
        <v>OK</v>
      </c>
      <c r="P121" s="5" t="str">
        <f t="shared" ca="1" si="91"/>
        <v>OK</v>
      </c>
      <c r="Q121" s="5" t="str">
        <f t="shared" ca="1" si="91"/>
        <v>OK</v>
      </c>
      <c r="R121" s="5" t="str">
        <f t="shared" ca="1" si="91"/>
        <v>OK</v>
      </c>
      <c r="S121" s="5" t="str">
        <f t="shared" ca="1" si="91"/>
        <v>OK</v>
      </c>
      <c r="T121" s="5" t="str">
        <f t="shared" ca="1" si="91"/>
        <v>OK</v>
      </c>
      <c r="U121" s="5" t="str">
        <f t="shared" ca="1" si="91"/>
        <v>OK</v>
      </c>
    </row>
    <row r="122" spans="1:21" ht="15" x14ac:dyDescent="0.25">
      <c r="A122" s="26"/>
    </row>
    <row r="123" spans="1:21" x14ac:dyDescent="0.2">
      <c r="A123" s="18" t="s">
        <v>248</v>
      </c>
    </row>
    <row r="124" spans="1:21" x14ac:dyDescent="0.2">
      <c r="A124" s="18" t="s">
        <v>249</v>
      </c>
    </row>
    <row r="125" spans="1:21" x14ac:dyDescent="0.2">
      <c r="A125" s="1" t="s">
        <v>405</v>
      </c>
      <c r="B125" s="4" t="str">
        <f t="shared" ref="B125:B131" si="92">$B$37</f>
        <v>From Fiscal</v>
      </c>
      <c r="D125" s="14">
        <f>'Fiscal Forecasts'!D$206</f>
        <v>25.309000000000001</v>
      </c>
      <c r="E125" s="14">
        <f>'Fiscal Forecasts'!E$206</f>
        <v>27.018999999999998</v>
      </c>
      <c r="F125" s="14">
        <f>'Fiscal Forecasts'!F$206</f>
        <v>28.640999999999998</v>
      </c>
      <c r="G125" s="15">
        <f>'Fiscal Forecasts'!G$206 +IF($C$2="Yes",'Fiscal Forecast Adjuster'!C$8/1000,0)</f>
        <v>30.38</v>
      </c>
      <c r="H125" s="15">
        <f>'Fiscal Forecasts'!H$206 +IF($C$2="Yes",'Fiscal Forecast Adjuster'!D$8/1000,0)</f>
        <v>32.247999999999998</v>
      </c>
      <c r="I125" s="15">
        <f>'Fiscal Forecasts'!I$206 +IF($C$2="Yes",'Fiscal Forecast Adjuster'!E$8/1000,0)</f>
        <v>34.231999999999999</v>
      </c>
      <c r="J125" s="15">
        <f>'Fiscal Forecasts'!J$206 +IF($C$2="Yes",'Fiscal Forecast Adjuster'!F$8/1000,0)</f>
        <v>36.298999999999999</v>
      </c>
      <c r="K125" s="15">
        <f>'Fiscal Forecasts'!K$206 +IF($C$2="Yes",'Fiscal Forecast Adjuster'!G$8/1000,0)</f>
        <v>38.459000000000003</v>
      </c>
      <c r="L125" s="6">
        <f ca="1">IF(OFFSET(Assumptions!$B$30,0,$C$1)="Yes",K$125*(1+L$18)*(1+OFFSET(Assumptions!$B$31,0,$C$1)*L$27),(K$125/K$13+MIN(ABS(OFFSET(Assumptions!$B$32,0,$C$1)-K$125/K$13),OFFSET(Assumptions!$B$33,0,$C$1))*SIGN(OFFSET(Assumptions!$B$32,0,$C$1)-K$125/K$13))*L$13)</f>
        <v>40.281594423594662</v>
      </c>
      <c r="M125" s="6">
        <f ca="1">IF(OFFSET(Assumptions!$B$30,0,$C$1)="Yes",L$125*(1+M$18)*(1+OFFSET(Assumptions!$B$31,0,$C$1)*M$27),(L$125/L$13+MIN(ABS(OFFSET(Assumptions!$B$32,0,$C$1)-L$125/L$13),OFFSET(Assumptions!$B$33,0,$C$1))*SIGN(OFFSET(Assumptions!$B$32,0,$C$1)-L$125/L$13))*M$13)</f>
        <v>42.118271327758713</v>
      </c>
      <c r="N125" s="6">
        <f ca="1">IF(OFFSET(Assumptions!$B$30,0,$C$1)="Yes",M$125*(1+N$18)*(1+OFFSET(Assumptions!$B$31,0,$C$1)*N$27),(M$125/M$13+MIN(ABS(OFFSET(Assumptions!$B$32,0,$C$1)-M$125/M$13),OFFSET(Assumptions!$B$33,0,$C$1))*SIGN(OFFSET(Assumptions!$B$32,0,$C$1)-M$125/M$13))*N$13)</f>
        <v>43.994990290096986</v>
      </c>
      <c r="O125" s="6">
        <f ca="1">IF(OFFSET(Assumptions!$B$30,0,$C$1)="Yes",N$125*(1+O$18)*(1+OFFSET(Assumptions!$B$31,0,$C$1)*O$27),(N$125/N$13+MIN(ABS(OFFSET(Assumptions!$B$32,0,$C$1)-N$125/N$13),OFFSET(Assumptions!$B$33,0,$C$1))*SIGN(OFFSET(Assumptions!$B$32,0,$C$1)-N$125/N$13))*O$13)</f>
        <v>45.919764385454201</v>
      </c>
      <c r="P125" s="6">
        <f ca="1">IF(OFFSET(Assumptions!$B$30,0,$C$1)="Yes",O$125*(1+P$18)*(1+OFFSET(Assumptions!$B$31,0,$C$1)*P$27),(O$125/O$13+MIN(ABS(OFFSET(Assumptions!$B$32,0,$C$1)-O$125/O$13),OFFSET(Assumptions!$B$33,0,$C$1))*SIGN(OFFSET(Assumptions!$B$32,0,$C$1)-O$125/O$13))*P$13)</f>
        <v>47.909899986396901</v>
      </c>
      <c r="Q125" s="6">
        <f ca="1">IF(OFFSET(Assumptions!$B$30,0,$C$1)="Yes",P$125*(1+Q$18)*(1+OFFSET(Assumptions!$B$31,0,$C$1)*Q$27),(P$125/P$13+MIN(ABS(OFFSET(Assumptions!$B$32,0,$C$1)-P$125/P$13),OFFSET(Assumptions!$B$33,0,$C$1))*SIGN(OFFSET(Assumptions!$B$32,0,$C$1)-P$125/P$13))*Q$13)</f>
        <v>49.968567440152171</v>
      </c>
      <c r="R125" s="6">
        <f ca="1">IF(OFFSET(Assumptions!$B$30,0,$C$1)="Yes",Q$125*(1+R$18)*(1+OFFSET(Assumptions!$B$31,0,$C$1)*R$27),(Q$125/Q$13+MIN(ABS(OFFSET(Assumptions!$B$32,0,$C$1)-Q$125/Q$13),OFFSET(Assumptions!$B$33,0,$C$1))*SIGN(OFFSET(Assumptions!$B$32,0,$C$1)-Q$125/Q$13))*R$13)</f>
        <v>52.092224465551269</v>
      </c>
      <c r="S125" s="6">
        <f ca="1">IF(OFFSET(Assumptions!$B$30,0,$C$1)="Yes",R$125*(1+S$18)*(1+OFFSET(Assumptions!$B$31,0,$C$1)*S$27),(R$125/R$13+MIN(ABS(OFFSET(Assumptions!$B$32,0,$C$1)-R$125/R$13),OFFSET(Assumptions!$B$33,0,$C$1))*SIGN(OFFSET(Assumptions!$B$32,0,$C$1)-R$125/R$13))*S$13)</f>
        <v>54.287195916205768</v>
      </c>
      <c r="T125" s="6">
        <f ca="1">IF(OFFSET(Assumptions!$B$30,0,$C$1)="Yes",S$125*(1+T$18)*(1+OFFSET(Assumptions!$B$31,0,$C$1)*T$27),(S$125/S$13+MIN(ABS(OFFSET(Assumptions!$B$32,0,$C$1)-S$125/S$13),OFFSET(Assumptions!$B$33,0,$C$1))*SIGN(OFFSET(Assumptions!$B$32,0,$C$1)-S$125/S$13))*T$13)</f>
        <v>56.555479170196357</v>
      </c>
      <c r="U125" s="6">
        <f ca="1">IF(OFFSET(Assumptions!$B$30,0,$C$1)="Yes",T$125*(1+U$18)*(1+OFFSET(Assumptions!$B$31,0,$C$1)*U$27),(T$125/T$13+MIN(ABS(OFFSET(Assumptions!$B$32,0,$C$1)-T$125/T$13),OFFSET(Assumptions!$B$33,0,$C$1))*SIGN(OFFSET(Assumptions!$B$32,0,$C$1)-T$125/T$13))*U$13)</f>
        <v>58.90393111473557</v>
      </c>
    </row>
    <row r="126" spans="1:21" x14ac:dyDescent="0.2">
      <c r="A126" s="1" t="s">
        <v>406</v>
      </c>
      <c r="B126" s="4" t="str">
        <f t="shared" si="92"/>
        <v>From Fiscal</v>
      </c>
      <c r="D126" s="14">
        <f>'Fiscal Forecasts'!D$207</f>
        <v>10.295999999999999</v>
      </c>
      <c r="E126" s="14">
        <f>'Fiscal Forecasts'!E$207</f>
        <v>11.054</v>
      </c>
      <c r="F126" s="14">
        <f>'Fiscal Forecasts'!F$207</f>
        <v>12.629</v>
      </c>
      <c r="G126" s="15">
        <f>'Fiscal Forecasts'!G$207 +IF($C$2="Yes",'Fiscal Forecast Adjuster'!C$9/1000,0)</f>
        <v>13.076000000000001</v>
      </c>
      <c r="H126" s="15">
        <f>'Fiscal Forecasts'!H$207 +IF($C$2="Yes",'Fiscal Forecast Adjuster'!D$9/1000,0)</f>
        <v>13.763</v>
      </c>
      <c r="I126" s="15">
        <f>'Fiscal Forecasts'!I$207 +IF($C$2="Yes",'Fiscal Forecast Adjuster'!E$9/1000,0)</f>
        <v>14.5</v>
      </c>
      <c r="J126" s="15">
        <f>'Fiscal Forecasts'!J$207 +IF($C$2="Yes",'Fiscal Forecast Adjuster'!F$9/1000,0)</f>
        <v>15.141999999999999</v>
      </c>
      <c r="K126" s="15">
        <f>'Fiscal Forecasts'!K$207 +IF($C$2="Yes",'Fiscal Forecast Adjuster'!G$9/1000,0)</f>
        <v>15.881</v>
      </c>
      <c r="L126" s="6">
        <f ca="1">(K$126/K$13+MIN(ABS(OFFSET(Assumptions!$B$34,0,$C$1)-K$126/K$13),OFFSET(Assumptions!$B$35,0,$C$1))*SIGN(OFFSET(Assumptions!$B$34,0,$C$1)-K$126/K$13))*L$13</f>
        <v>15.380245143554326</v>
      </c>
      <c r="M126" s="6">
        <f ca="1">(L$126/L$13+MIN(ABS(OFFSET(Assumptions!$B$34,0,$C$1)-L$126/L$13),OFFSET(Assumptions!$B$35,0,$C$1))*SIGN(OFFSET(Assumptions!$B$34,0,$C$1)-L$126/L$13))*M$13</f>
        <v>16.081521779689691</v>
      </c>
      <c r="N126" s="6">
        <f ca="1">(M$126/M$13+MIN(ABS(OFFSET(Assumptions!$B$34,0,$C$1)-M$126/M$13),OFFSET(Assumptions!$B$35,0,$C$1))*SIGN(OFFSET(Assumptions!$B$34,0,$C$1)-M$126/M$13))*N$13</f>
        <v>16.798087201673393</v>
      </c>
      <c r="O126" s="6">
        <f ca="1">(N$126/N$13+MIN(ABS(OFFSET(Assumptions!$B$34,0,$C$1)-N$126/N$13),OFFSET(Assumptions!$B$35,0,$C$1))*SIGN(OFFSET(Assumptions!$B$34,0,$C$1)-N$126/N$13))*O$13</f>
        <v>17.533000947173424</v>
      </c>
      <c r="P126" s="6">
        <f ca="1">(O$126/O$13+MIN(ABS(OFFSET(Assumptions!$B$34,0,$C$1)-O$126/O$13),OFFSET(Assumptions!$B$35,0,$C$1))*SIGN(OFFSET(Assumptions!$B$34,0,$C$1)-O$126/O$13))*P$13</f>
        <v>18.292870903897001</v>
      </c>
      <c r="Q126" s="6">
        <f ca="1">(P$126/P$13+MIN(ABS(OFFSET(Assumptions!$B$34,0,$C$1)-P$126/P$13),OFFSET(Assumptions!$B$35,0,$C$1))*SIGN(OFFSET(Assumptions!$B$34,0,$C$1)-P$126/P$13))*Q$13</f>
        <v>19.078907568058103</v>
      </c>
      <c r="R126" s="6">
        <f ca="1">(Q$126/Q$13+MIN(ABS(OFFSET(Assumptions!$B$34,0,$C$1)-Q$126/Q$13),OFFSET(Assumptions!$B$35,0,$C$1))*SIGN(OFFSET(Assumptions!$B$34,0,$C$1)-Q$126/Q$13))*R$13</f>
        <v>19.889758432301395</v>
      </c>
      <c r="S126" s="6">
        <f ca="1">(R$126/R$13+MIN(ABS(OFFSET(Assumptions!$B$34,0,$C$1)-R$126/R$13),OFFSET(Assumptions!$B$35,0,$C$1))*SIGN(OFFSET(Assumptions!$B$34,0,$C$1)-R$126/R$13))*S$13</f>
        <v>20.727838440733112</v>
      </c>
      <c r="T126" s="6">
        <f ca="1">(S$126/S$13+MIN(ABS(OFFSET(Assumptions!$B$34,0,$C$1)-S$126/S$13),OFFSET(Assumptions!$B$35,0,$C$1))*SIGN(OFFSET(Assumptions!$B$34,0,$C$1)-S$126/S$13))*T$13</f>
        <v>21.593910228620427</v>
      </c>
      <c r="U126" s="6">
        <f ca="1">(T$126/T$13+MIN(ABS(OFFSET(Assumptions!$B$34,0,$C$1)-T$126/T$13),OFFSET(Assumptions!$B$35,0,$C$1))*SIGN(OFFSET(Assumptions!$B$34,0,$C$1)-T$126/T$13))*U$13</f>
        <v>22.490591880171763</v>
      </c>
    </row>
    <row r="127" spans="1:21" x14ac:dyDescent="0.2">
      <c r="A127" s="1" t="s">
        <v>407</v>
      </c>
      <c r="B127" s="4" t="str">
        <f t="shared" si="92"/>
        <v>From Fiscal</v>
      </c>
      <c r="D127" s="14">
        <f>'Fiscal Forecasts'!D$208</f>
        <v>17.169</v>
      </c>
      <c r="E127" s="14">
        <f>'Fiscal Forecasts'!E$208</f>
        <v>18.207999999999998</v>
      </c>
      <c r="F127" s="14">
        <f>'Fiscal Forecasts'!F$208</f>
        <v>19.507999999999999</v>
      </c>
      <c r="G127" s="15">
        <f>'Fiscal Forecasts'!G$208 +IF($C$2="Yes",'Fiscal Forecast Adjuster'!C$10/1000,0)</f>
        <v>20.690999999999999</v>
      </c>
      <c r="H127" s="15">
        <f>'Fiscal Forecasts'!H$208 +IF($C$2="Yes",'Fiscal Forecast Adjuster'!D$10/1000,0)</f>
        <v>21.969000000000001</v>
      </c>
      <c r="I127" s="15">
        <f>'Fiscal Forecasts'!I$208 +IF($C$2="Yes",'Fiscal Forecast Adjuster'!E$10/1000,0)</f>
        <v>23.013000000000002</v>
      </c>
      <c r="J127" s="15">
        <f>'Fiscal Forecasts'!J$208 +IF($C$2="Yes",'Fiscal Forecast Adjuster'!F$10/1000,0)</f>
        <v>24.103000000000002</v>
      </c>
      <c r="K127" s="15">
        <f>'Fiscal Forecasts'!K$208 +IF($C$2="Yes",'Fiscal Forecast Adjuster'!G$10/1000,0)</f>
        <v>25.225000000000001</v>
      </c>
      <c r="L127" s="6">
        <f ca="1">(K$127/K$13+MIN(ABS(OFFSET(Assumptions!$B$36,0,$C$1)-K$127/K$13),OFFSET(Assumptions!$B$37,0,$C$1))*SIGN(OFFSET(Assumptions!$B$36,0,$C$1)-K$127/K$13))*L$13</f>
        <v>26.366134531807411</v>
      </c>
      <c r="M127" s="6">
        <f ca="1">(L$127/L$13+MIN(ABS(OFFSET(Assumptions!$B$36,0,$C$1)-L$127/L$13),OFFSET(Assumptions!$B$37,0,$C$1))*SIGN(OFFSET(Assumptions!$B$36,0,$C$1)-L$127/L$13))*M$13</f>
        <v>27.568323050896609</v>
      </c>
      <c r="N127" s="6">
        <f ca="1">(M$127/M$13+MIN(ABS(OFFSET(Assumptions!$B$36,0,$C$1)-M$127/M$13),OFFSET(Assumptions!$B$37,0,$C$1))*SIGN(OFFSET(Assumptions!$B$36,0,$C$1)-M$127/M$13))*N$13</f>
        <v>28.796720917154389</v>
      </c>
      <c r="O127" s="6">
        <f ca="1">(N$127/N$13+MIN(ABS(OFFSET(Assumptions!$B$36,0,$C$1)-N$127/N$13),OFFSET(Assumptions!$B$37,0,$C$1))*SIGN(OFFSET(Assumptions!$B$36,0,$C$1)-N$127/N$13))*O$13</f>
        <v>30.056573052297292</v>
      </c>
      <c r="P127" s="6">
        <f ca="1">(O$127/O$13+MIN(ABS(OFFSET(Assumptions!$B$36,0,$C$1)-O$127/O$13),OFFSET(Assumptions!$B$37,0,$C$1))*SIGN(OFFSET(Assumptions!$B$36,0,$C$1)-O$127/O$13))*P$13</f>
        <v>31.359207263823421</v>
      </c>
      <c r="Q127" s="6">
        <f ca="1">(P$127/P$13+MIN(ABS(OFFSET(Assumptions!$B$36,0,$C$1)-P$127/P$13),OFFSET(Assumptions!$B$37,0,$C$1))*SIGN(OFFSET(Assumptions!$B$36,0,$C$1)-P$127/P$13))*Q$13</f>
        <v>32.7066986880996</v>
      </c>
      <c r="R127" s="6">
        <f ca="1">(Q$127/Q$13+MIN(ABS(OFFSET(Assumptions!$B$36,0,$C$1)-Q$127/Q$13),OFFSET(Assumptions!$B$37,0,$C$1))*SIGN(OFFSET(Assumptions!$B$36,0,$C$1)-Q$127/Q$13))*R$13</f>
        <v>34.0967287410881</v>
      </c>
      <c r="S127" s="6">
        <f ca="1">(R$127/R$13+MIN(ABS(OFFSET(Assumptions!$B$36,0,$C$1)-R$127/R$13),OFFSET(Assumptions!$B$37,0,$C$1))*SIGN(OFFSET(Assumptions!$B$36,0,$C$1)-R$127/R$13))*S$13</f>
        <v>35.533437326971047</v>
      </c>
      <c r="T127" s="6">
        <f ca="1">(S$127/S$13+MIN(ABS(OFFSET(Assumptions!$B$36,0,$C$1)-S$127/S$13),OFFSET(Assumptions!$B$37,0,$C$1))*SIGN(OFFSET(Assumptions!$B$36,0,$C$1)-S$127/S$13))*T$13</f>
        <v>37.018131820492158</v>
      </c>
      <c r="U127" s="6">
        <f ca="1">(T$127/T$13+MIN(ABS(OFFSET(Assumptions!$B$36,0,$C$1)-T$127/T$13),OFFSET(Assumptions!$B$37,0,$C$1))*SIGN(OFFSET(Assumptions!$B$36,0,$C$1)-T$127/T$13))*U$13</f>
        <v>38.555300366008737</v>
      </c>
    </row>
    <row r="128" spans="1:21" x14ac:dyDescent="0.2">
      <c r="A128" s="1" t="s">
        <v>411</v>
      </c>
      <c r="B128" s="4" t="str">
        <f t="shared" si="92"/>
        <v>From Fiscal</v>
      </c>
      <c r="D128" s="14">
        <f>'Fiscal Forecasts'!D$209</f>
        <v>3.2029999999999998</v>
      </c>
      <c r="E128" s="14">
        <f>'Fiscal Forecasts'!E$209</f>
        <v>3.4710000000000001</v>
      </c>
      <c r="F128" s="14">
        <f>'Fiscal Forecasts'!F$209</f>
        <v>3.6</v>
      </c>
      <c r="G128" s="15">
        <f>'Fiscal Forecasts'!G$209 +IF($C$2="Yes",'Fiscal Forecast Adjuster'!C$11/1000,0)</f>
        <v>3.653</v>
      </c>
      <c r="H128" s="15">
        <f>'Fiscal Forecasts'!H$209 +IF($C$2="Yes",'Fiscal Forecast Adjuster'!D$11/1000,0)</f>
        <v>3.694</v>
      </c>
      <c r="I128" s="15">
        <f>'Fiscal Forecasts'!I$209 +IF($C$2="Yes",'Fiscal Forecast Adjuster'!E$11/1000,0)</f>
        <v>3.7440000000000002</v>
      </c>
      <c r="J128" s="15">
        <f>'Fiscal Forecasts'!J$209 +IF($C$2="Yes",'Fiscal Forecast Adjuster'!F$11/1000,0)</f>
        <v>3.806</v>
      </c>
      <c r="K128" s="15">
        <f>'Fiscal Forecasts'!K$209 +IF($C$2="Yes",'Fiscal Forecast Adjuster'!G$11/1000,0)</f>
        <v>3.867</v>
      </c>
      <c r="L128" s="6">
        <f ca="1">(K$128/K$13+MIN(ABS(OFFSET(Assumptions!$B$38,0,$C$1)-K$128/K$13),OFFSET(Assumptions!$B$39,0,$C$1))*SIGN(OFFSET(Assumptions!$B$38,0,$C$1)-K$128/K$13))*L$13</f>
        <v>4.4145483111173238</v>
      </c>
      <c r="M128" s="6">
        <f ca="1">(L$128/L$13+MIN(ABS(OFFSET(Assumptions!$B$38,0,$C$1)-L$128/L$13),OFFSET(Assumptions!$B$39,0,$C$1))*SIGN(OFFSET(Assumptions!$B$38,0,$C$1)-L$128/L$13))*M$13</f>
        <v>4.9776138841896653</v>
      </c>
      <c r="N128" s="6">
        <f ca="1">(M$128/M$13+MIN(ABS(OFFSET(Assumptions!$B$38,0,$C$1)-M$128/M$13),OFFSET(Assumptions!$B$39,0,$C$1))*SIGN(OFFSET(Assumptions!$B$38,0,$C$1)-M$128/M$13))*N$13</f>
        <v>5.1994079433750979</v>
      </c>
      <c r="O128" s="6">
        <f ca="1">(N$128/N$13+MIN(ABS(OFFSET(Assumptions!$B$38,0,$C$1)-N$128/N$13),OFFSET(Assumptions!$B$39,0,$C$1))*SIGN(OFFSET(Assumptions!$B$38,0,$C$1)-N$128/N$13))*O$13</f>
        <v>5.4268812455536786</v>
      </c>
      <c r="P128" s="6">
        <f ca="1">(O$128/O$13+MIN(ABS(OFFSET(Assumptions!$B$38,0,$C$1)-O$128/O$13),OFFSET(Assumptions!$B$39,0,$C$1))*SIGN(OFFSET(Assumptions!$B$38,0,$C$1)-O$128/O$13))*P$13</f>
        <v>5.6620790893014519</v>
      </c>
      <c r="Q128" s="6">
        <f ca="1">(P$128/P$13+MIN(ABS(OFFSET(Assumptions!$B$38,0,$C$1)-P$128/P$13),OFFSET(Assumptions!$B$39,0,$C$1))*SIGN(OFFSET(Assumptions!$B$38,0,$C$1)-P$128/P$13))*Q$13</f>
        <v>5.9053761520179835</v>
      </c>
      <c r="R128" s="6">
        <f ca="1">(Q$128/Q$13+MIN(ABS(OFFSET(Assumptions!$B$38,0,$C$1)-Q$128/Q$13),OFFSET(Assumptions!$B$39,0,$C$1))*SIGN(OFFSET(Assumptions!$B$38,0,$C$1)-Q$128/Q$13))*R$13</f>
        <v>6.1563538004742409</v>
      </c>
      <c r="S128" s="6">
        <f ca="1">(R$128/R$13+MIN(ABS(OFFSET(Assumptions!$B$38,0,$C$1)-R$128/R$13),OFFSET(Assumptions!$B$39,0,$C$1))*SIGN(OFFSET(Assumptions!$B$38,0,$C$1)-R$128/R$13))*S$13</f>
        <v>6.4157595173697723</v>
      </c>
      <c r="T128" s="6">
        <f ca="1">(S$128/S$13+MIN(ABS(OFFSET(Assumptions!$B$38,0,$C$1)-S$128/S$13),OFFSET(Assumptions!$B$39,0,$C$1))*SIGN(OFFSET(Assumptions!$B$38,0,$C$1)-S$128/S$13))*T$13</f>
        <v>6.6838293564777507</v>
      </c>
      <c r="U128" s="6">
        <f ca="1">(T$128/T$13+MIN(ABS(OFFSET(Assumptions!$B$38,0,$C$1)-T$128/T$13),OFFSET(Assumptions!$B$39,0,$C$1))*SIGN(OFFSET(Assumptions!$B$38,0,$C$1)-T$128/T$13))*U$13</f>
        <v>6.961373677196022</v>
      </c>
    </row>
    <row r="129" spans="1:21" x14ac:dyDescent="0.2">
      <c r="A129" s="1" t="s">
        <v>254</v>
      </c>
      <c r="B129" s="4" t="str">
        <f t="shared" si="92"/>
        <v>From Fiscal</v>
      </c>
      <c r="D129" s="14">
        <f>'Fiscal Forecasts'!D$210</f>
        <v>10.078000000000001</v>
      </c>
      <c r="E129" s="14">
        <f>'Fiscal Forecasts'!E$210</f>
        <v>9.9160000000000004</v>
      </c>
      <c r="F129" s="14">
        <f>'Fiscal Forecasts'!F$210</f>
        <v>10.595000000000001</v>
      </c>
      <c r="G129" s="15">
        <f>'Fiscal Forecasts'!G$210 +IF($C$2="Yes",'Fiscal Forecast Adjuster'!C$12/1000,0)</f>
        <v>11.025</v>
      </c>
      <c r="H129" s="15">
        <f>'Fiscal Forecasts'!H$210 +IF($C$2="Yes",'Fiscal Forecast Adjuster'!D$12/1000,0)</f>
        <v>11.567</v>
      </c>
      <c r="I129" s="15">
        <f>'Fiscal Forecasts'!I$210 +IF($C$2="Yes",'Fiscal Forecast Adjuster'!E$12/1000,0)</f>
        <v>12.698</v>
      </c>
      <c r="J129" s="15">
        <f>'Fiscal Forecasts'!J$210 +IF($C$2="Yes",'Fiscal Forecast Adjuster'!F$12/1000,0)</f>
        <v>13.669999999999998</v>
      </c>
      <c r="K129" s="15">
        <f>'Fiscal Forecasts'!K$210 +IF($C$2="Yes",'Fiscal Forecast Adjuster'!G$12/1000,0)</f>
        <v>14.614999999999998</v>
      </c>
      <c r="L129" s="6">
        <f ca="1">(K$129/K$13+MIN(ABS(OFFSET(Assumptions!$B$40,0,$C$1)-K$129/K$13),OFFSET(Assumptions!$B$41,0,$C$1))*SIGN(OFFSET(Assumptions!$B$40,0,$C$1)-K$129/K$13))*L$13</f>
        <v>15.746441456496093</v>
      </c>
      <c r="M129" s="6">
        <f ca="1">(L$129/L$13+MIN(ABS(OFFSET(Assumptions!$B$40,0,$C$1)-L$129/L$13),OFFSET(Assumptions!$B$41,0,$C$1))*SIGN(OFFSET(Assumptions!$B$40,0,$C$1)-L$129/L$13))*M$13</f>
        <v>16.464415155396583</v>
      </c>
      <c r="N129" s="6">
        <f ca="1">(M$129/M$13+MIN(ABS(OFFSET(Assumptions!$B$40,0,$C$1)-M$129/M$13),OFFSET(Assumptions!$B$41,0,$C$1))*SIGN(OFFSET(Assumptions!$B$40,0,$C$1)-M$129/M$13))*N$13</f>
        <v>17.198041658856091</v>
      </c>
      <c r="O129" s="6">
        <f ca="1">(N$129/N$13+MIN(ABS(OFFSET(Assumptions!$B$40,0,$C$1)-N$129/N$13),OFFSET(Assumptions!$B$41,0,$C$1))*SIGN(OFFSET(Assumptions!$B$40,0,$C$1)-N$129/N$13))*O$13</f>
        <v>17.950453350677549</v>
      </c>
      <c r="P129" s="6">
        <f ca="1">(O$129/O$13+MIN(ABS(OFFSET(Assumptions!$B$40,0,$C$1)-O$129/O$13),OFFSET(Assumptions!$B$41,0,$C$1))*SIGN(OFFSET(Assumptions!$B$40,0,$C$1)-O$129/O$13))*P$13</f>
        <v>18.728415449227878</v>
      </c>
      <c r="Q129" s="6">
        <f ca="1">(P$129/P$13+MIN(ABS(OFFSET(Assumptions!$B$40,0,$C$1)-P$129/P$13),OFFSET(Assumptions!$B$41,0,$C$1))*SIGN(OFFSET(Assumptions!$B$40,0,$C$1)-P$129/P$13))*Q$13</f>
        <v>19.533167272059483</v>
      </c>
      <c r="R129" s="6">
        <f ca="1">(Q$129/Q$13+MIN(ABS(OFFSET(Assumptions!$B$40,0,$C$1)-Q$129/Q$13),OFFSET(Assumptions!$B$41,0,$C$1))*SIGN(OFFSET(Assumptions!$B$40,0,$C$1)-Q$129/Q$13))*R$13</f>
        <v>20.363324109260947</v>
      </c>
      <c r="S129" s="6">
        <f ca="1">(R$129/R$13+MIN(ABS(OFFSET(Assumptions!$B$40,0,$C$1)-R$129/R$13),OFFSET(Assumptions!$B$41,0,$C$1))*SIGN(OFFSET(Assumptions!$B$40,0,$C$1)-R$129/R$13))*S$13</f>
        <v>21.221358403607706</v>
      </c>
      <c r="T129" s="6">
        <f ca="1">(S$129/S$13+MIN(ABS(OFFSET(Assumptions!$B$40,0,$C$1)-S$129/S$13),OFFSET(Assumptions!$B$41,0,$C$1))*SIGN(OFFSET(Assumptions!$B$40,0,$C$1)-S$129/S$13))*T$13</f>
        <v>22.108050948349483</v>
      </c>
      <c r="U129" s="6">
        <f ca="1">(T$129/T$13+MIN(ABS(OFFSET(Assumptions!$B$40,0,$C$1)-T$129/T$13),OFFSET(Assumptions!$B$41,0,$C$1))*SIGN(OFFSET(Assumptions!$B$40,0,$C$1)-T$129/T$13))*U$13</f>
        <v>23.026082163032992</v>
      </c>
    </row>
    <row r="130" spans="1:21" ht="15" x14ac:dyDescent="0.25">
      <c r="A130" s="2" t="s">
        <v>408</v>
      </c>
      <c r="D130" s="34">
        <f t="shared" ref="D130:U130" si="93">SUM(D$125:D$129)</f>
        <v>66.055000000000007</v>
      </c>
      <c r="E130" s="34">
        <f t="shared" si="93"/>
        <v>69.667999999999992</v>
      </c>
      <c r="F130" s="34">
        <f t="shared" si="93"/>
        <v>74.972999999999985</v>
      </c>
      <c r="G130" s="33">
        <f t="shared" si="93"/>
        <v>78.825000000000017</v>
      </c>
      <c r="H130" s="33">
        <f t="shared" si="93"/>
        <v>83.240999999999985</v>
      </c>
      <c r="I130" s="33">
        <f t="shared" si="93"/>
        <v>88.187000000000012</v>
      </c>
      <c r="J130" s="33">
        <f t="shared" si="93"/>
        <v>93.02000000000001</v>
      </c>
      <c r="K130" s="33">
        <f t="shared" si="93"/>
        <v>98.046999999999997</v>
      </c>
      <c r="L130" s="37">
        <f t="shared" ca="1" si="93"/>
        <v>102.18896386656982</v>
      </c>
      <c r="M130" s="37">
        <f t="shared" ca="1" si="93"/>
        <v>107.21014519793125</v>
      </c>
      <c r="N130" s="37">
        <f t="shared" ca="1" si="93"/>
        <v>111.98724801115594</v>
      </c>
      <c r="O130" s="37">
        <f t="shared" ca="1" si="93"/>
        <v>116.88667298115614</v>
      </c>
      <c r="P130" s="37">
        <f t="shared" ca="1" si="93"/>
        <v>121.95247269264667</v>
      </c>
      <c r="Q130" s="37">
        <f t="shared" ca="1" si="93"/>
        <v>127.19271712038733</v>
      </c>
      <c r="R130" s="37">
        <f t="shared" ca="1" si="93"/>
        <v>132.59838954867595</v>
      </c>
      <c r="S130" s="37">
        <f t="shared" ca="1" si="93"/>
        <v>138.18558960488741</v>
      </c>
      <c r="T130" s="37">
        <f t="shared" ca="1" si="93"/>
        <v>143.95940152413615</v>
      </c>
      <c r="U130" s="37">
        <f t="shared" ca="1" si="93"/>
        <v>149.93727920114509</v>
      </c>
    </row>
    <row r="131" spans="1:21" x14ac:dyDescent="0.2">
      <c r="A131" s="1" t="s">
        <v>409</v>
      </c>
      <c r="B131" s="4" t="str">
        <f t="shared" si="92"/>
        <v>From Fiscal</v>
      </c>
      <c r="D131" s="14">
        <f>D$130-'Fiscal Forecasts'!D$149</f>
        <v>-0.58099999999998886</v>
      </c>
      <c r="E131" s="14">
        <f>E$130-'Fiscal Forecasts'!E$149</f>
        <v>-0.77700000000000102</v>
      </c>
      <c r="F131" s="14">
        <f>F$130-'Fiscal Forecasts'!F$149</f>
        <v>-0.67100000000002069</v>
      </c>
      <c r="G131" s="15">
        <f>G$130-'Fiscal Forecasts'!G$149 -IF($C$2="Yes",SUM('Fiscal Forecast Adjuster'!C$8:C$12)/1000,0)</f>
        <v>-0.71199999999998909</v>
      </c>
      <c r="H131" s="15">
        <f>H$130-'Fiscal Forecasts'!H$149 -IF($C$2="Yes",SUM('Fiscal Forecast Adjuster'!D$8:D$12)/1000,0)</f>
        <v>-0.6600000000000108</v>
      </c>
      <c r="I131" s="15">
        <f>I$130-'Fiscal Forecasts'!I$149 -IF($C$2="Yes",SUM('Fiscal Forecast Adjuster'!E$8:E$12)/1000,0)</f>
        <v>-0.84599999999998943</v>
      </c>
      <c r="J131" s="15">
        <f>J$130-'Fiscal Forecasts'!J$149 -IF($C$2="Yes",SUM('Fiscal Forecast Adjuster'!F$8:F$12)/1000,0)</f>
        <v>-0.90899999999999181</v>
      </c>
      <c r="K131" s="15">
        <f>K$130-'Fiscal Forecasts'!K$149 -IF($C$2="Yes",SUM('Fiscal Forecast Adjuster'!G$8:G$12)/1000,0)</f>
        <v>-0.97100000000000364</v>
      </c>
      <c r="L131" s="6">
        <f ca="1">(K$131/K$13-MIN(ABS(OFFSET(Assumptions!$B$42,0,$C$1)+K$131/K$13),OFFSET(Assumptions!$B$43,0,$C$1))*SIGN(OFFSET(Assumptions!$B$42,0,$C$1)+K$131/K$13))*L$13</f>
        <v>-1.0985889388253089</v>
      </c>
      <c r="M131" s="6">
        <f ca="1">(L$131/L$13-MIN(ABS(OFFSET(Assumptions!$B$42,0,$C$1)+L$131/L$13),OFFSET(Assumptions!$B$43,0,$C$1))*SIGN(OFFSET(Assumptions!$B$42,0,$C$1)+L$131/L$13))*M$13</f>
        <v>-1.1486801271206921</v>
      </c>
      <c r="N131" s="6">
        <f ca="1">(M$131/M$13-MIN(ABS(OFFSET(Assumptions!$B$42,0,$C$1)+M$131/M$13),OFFSET(Assumptions!$B$43,0,$C$1))*SIGN(OFFSET(Assumptions!$B$42,0,$C$1)+M$131/M$13))*N$13</f>
        <v>-1.1998633715480995</v>
      </c>
      <c r="O131" s="6">
        <f ca="1">(N$131/N$13-MIN(ABS(OFFSET(Assumptions!$B$42,0,$C$1)+N$131/N$13),OFFSET(Assumptions!$B$43,0,$C$1))*SIGN(OFFSET(Assumptions!$B$42,0,$C$1)+N$131/N$13))*O$13</f>
        <v>-1.2523572105123872</v>
      </c>
      <c r="P131" s="6">
        <f ca="1">(O$131/O$13-MIN(ABS(OFFSET(Assumptions!$B$42,0,$C$1)+O$131/O$13),OFFSET(Assumptions!$B$43,0,$C$1))*SIGN(OFFSET(Assumptions!$B$42,0,$C$1)+O$131/O$13))*P$13</f>
        <v>-1.3066336359926427</v>
      </c>
      <c r="Q131" s="6">
        <f ca="1">(P$131/P$13-MIN(ABS(OFFSET(Assumptions!$B$42,0,$C$1)+P$131/P$13),OFFSET(Assumptions!$B$43,0,$C$1))*SIGN(OFFSET(Assumptions!$B$42,0,$C$1)+P$131/P$13))*Q$13</f>
        <v>-1.3627791120041501</v>
      </c>
      <c r="R131" s="6">
        <f ca="1">(Q$131/Q$13-MIN(ABS(OFFSET(Assumptions!$B$42,0,$C$1)+Q$131/Q$13),OFFSET(Assumptions!$B$43,0,$C$1))*SIGN(OFFSET(Assumptions!$B$42,0,$C$1)+Q$131/Q$13))*R$13</f>
        <v>-1.4206970308786711</v>
      </c>
      <c r="S131" s="6">
        <f ca="1">(R$131/R$13-MIN(ABS(OFFSET(Assumptions!$B$42,0,$C$1)+R$131/R$13),OFFSET(Assumptions!$B$43,0,$C$1))*SIGN(OFFSET(Assumptions!$B$42,0,$C$1)+R$131/R$13))*S$13</f>
        <v>-1.4805598886237936</v>
      </c>
      <c r="T131" s="6">
        <f ca="1">(S$131/S$13-MIN(ABS(OFFSET(Assumptions!$B$42,0,$C$1)+S$131/S$13),OFFSET(Assumptions!$B$43,0,$C$1))*SIGN(OFFSET(Assumptions!$B$42,0,$C$1)+S$131/S$13))*T$13</f>
        <v>-1.5424221591871734</v>
      </c>
      <c r="U131" s="6">
        <f ca="1">(T$131/T$13-MIN(ABS(OFFSET(Assumptions!$B$42,0,$C$1)+T$131/T$13),OFFSET(Assumptions!$B$43,0,$C$1))*SIGN(OFFSET(Assumptions!$B$42,0,$C$1)+T$131/T$13))*U$13</f>
        <v>-1.6064708485836974</v>
      </c>
    </row>
    <row r="132" spans="1:21" ht="15" x14ac:dyDescent="0.25">
      <c r="A132" s="2" t="s">
        <v>410</v>
      </c>
      <c r="D132" s="34">
        <f>SUM(D$130,-D$131)</f>
        <v>66.635999999999996</v>
      </c>
      <c r="E132" s="34">
        <f>SUM(E$130,-E$131)</f>
        <v>70.444999999999993</v>
      </c>
      <c r="F132" s="34">
        <f>SUM(F$130,-F$131)</f>
        <v>75.644000000000005</v>
      </c>
      <c r="G132" s="33">
        <f t="shared" ref="G132:U132" si="94">SUM(G$130,-G$131)</f>
        <v>79.537000000000006</v>
      </c>
      <c r="H132" s="33">
        <f t="shared" si="94"/>
        <v>83.900999999999996</v>
      </c>
      <c r="I132" s="33">
        <f t="shared" si="94"/>
        <v>89.033000000000001</v>
      </c>
      <c r="J132" s="33">
        <f t="shared" si="94"/>
        <v>93.929000000000002</v>
      </c>
      <c r="K132" s="33">
        <f t="shared" si="94"/>
        <v>99.018000000000001</v>
      </c>
      <c r="L132" s="37">
        <f t="shared" ca="1" si="94"/>
        <v>103.28755280539514</v>
      </c>
      <c r="M132" s="37">
        <f t="shared" ca="1" si="94"/>
        <v>108.35882532505195</v>
      </c>
      <c r="N132" s="37">
        <f t="shared" ca="1" si="94"/>
        <v>113.18711138270405</v>
      </c>
      <c r="O132" s="37">
        <f t="shared" ca="1" si="94"/>
        <v>118.13903019166852</v>
      </c>
      <c r="P132" s="37">
        <f t="shared" ca="1" si="94"/>
        <v>123.25910632863931</v>
      </c>
      <c r="Q132" s="37">
        <f t="shared" ca="1" si="94"/>
        <v>128.55549623239148</v>
      </c>
      <c r="R132" s="37">
        <f t="shared" ca="1" si="94"/>
        <v>134.01908657955462</v>
      </c>
      <c r="S132" s="37">
        <f t="shared" ca="1" si="94"/>
        <v>139.6661494935112</v>
      </c>
      <c r="T132" s="37">
        <f t="shared" ca="1" si="94"/>
        <v>145.50182368332332</v>
      </c>
      <c r="U132" s="37">
        <f t="shared" ca="1" si="94"/>
        <v>151.54375004972877</v>
      </c>
    </row>
    <row r="133" spans="1:21" ht="15" x14ac:dyDescent="0.25">
      <c r="A133" s="2"/>
    </row>
    <row r="134" spans="1:21" x14ac:dyDescent="0.2">
      <c r="A134" s="18" t="s">
        <v>269</v>
      </c>
    </row>
    <row r="135" spans="1:21" x14ac:dyDescent="0.2">
      <c r="A135" s="1" t="s">
        <v>1244</v>
      </c>
      <c r="B135" s="4" t="str">
        <f>$B$37</f>
        <v>From Fiscal</v>
      </c>
      <c r="D135" s="14">
        <f>'Fiscal Forecasts'!D$357</f>
        <v>0.13500000000000001</v>
      </c>
      <c r="E135" s="14">
        <f>'Fiscal Forecasts'!E$357</f>
        <v>0.27100000000000002</v>
      </c>
      <c r="F135" s="14">
        <f>'Fiscal Forecasts'!F$357</f>
        <v>0.44400000000000001</v>
      </c>
      <c r="G135" s="15">
        <f>'Fiscal Forecasts'!G$357</f>
        <v>0.64200000000000002</v>
      </c>
      <c r="H135" s="15">
        <f>'Fiscal Forecasts'!H$357</f>
        <v>0.78400000000000003</v>
      </c>
      <c r="I135" s="15">
        <f>'Fiscal Forecasts'!I$357</f>
        <v>0.875</v>
      </c>
      <c r="J135" s="15">
        <f>'Fiscal Forecasts'!J$357</f>
        <v>0.93</v>
      </c>
      <c r="K135" s="15">
        <f>'Fiscal Forecasts'!K$357</f>
        <v>0.96399999999999997</v>
      </c>
      <c r="L135" s="6">
        <f ca="1">L$304</f>
        <v>0.56741835609287561</v>
      </c>
      <c r="M135" s="6">
        <f t="shared" ref="M135:U135" ca="1" si="95">M$304</f>
        <v>0.59329032577399821</v>
      </c>
      <c r="N135" s="6">
        <f t="shared" ca="1" si="95"/>
        <v>0.61972633963333446</v>
      </c>
      <c r="O135" s="6">
        <f t="shared" ca="1" si="95"/>
        <v>0.64683927219386939</v>
      </c>
      <c r="P135" s="6">
        <f t="shared" ca="1" si="95"/>
        <v>0.67487290609658723</v>
      </c>
      <c r="Q135" s="6">
        <f t="shared" ca="1" si="95"/>
        <v>0.70387189978258446</v>
      </c>
      <c r="R135" s="6">
        <f t="shared" ca="1" si="95"/>
        <v>0.73378635564015149</v>
      </c>
      <c r="S135" s="6">
        <f t="shared" ca="1" si="95"/>
        <v>0.76470536741272543</v>
      </c>
      <c r="T135" s="6">
        <f t="shared" ca="1" si="95"/>
        <v>0.79665707075390335</v>
      </c>
      <c r="U135" s="6">
        <f t="shared" ca="1" si="95"/>
        <v>0.82973805378850296</v>
      </c>
    </row>
    <row r="136" spans="1:21" x14ac:dyDescent="0.2">
      <c r="A136" s="1" t="s">
        <v>1261</v>
      </c>
      <c r="B136" s="4" t="str">
        <f>$B$37</f>
        <v>From Fiscal</v>
      </c>
      <c r="D136" s="14">
        <f>'Fiscal Forecasts'!D$150-D$135</f>
        <v>0.85799999999999998</v>
      </c>
      <c r="E136" s="14">
        <f>'Fiscal Forecasts'!E$150-E$135</f>
        <v>0.84500000000000008</v>
      </c>
      <c r="F136" s="14">
        <f>'Fiscal Forecasts'!F$150-F$135</f>
        <v>1.014</v>
      </c>
      <c r="G136" s="15">
        <f>'Fiscal Forecasts'!G$150-G$135</f>
        <v>0.94400000000000006</v>
      </c>
      <c r="H136" s="15">
        <f>'Fiscal Forecasts'!H$150-H$135</f>
        <v>0.94700000000000006</v>
      </c>
      <c r="I136" s="15">
        <f>'Fiscal Forecasts'!I$150-I$135</f>
        <v>0.91700000000000004</v>
      </c>
      <c r="J136" s="15">
        <f>'Fiscal Forecasts'!J$150-J$135</f>
        <v>0.91499999999999992</v>
      </c>
      <c r="K136" s="15">
        <f>'Fiscal Forecasts'!K$150-K$135</f>
        <v>0.92900000000000005</v>
      </c>
      <c r="L136" s="6">
        <f ca="1">IF(L$6=OFFSET(Assumptions!$B$8,0,$C$1),AVERAGE(I$136/I$13,J$136/J$13,K$136/K$13),K$136/K$13)*L$13</f>
        <v>1.0076951954222257</v>
      </c>
      <c r="M136" s="6">
        <f ca="1">IF(M$6=OFFSET(Assumptions!$B$8,0,$C$1),AVERAGE(J$136/J$13,K$136/K$13,L$136/L$13),L$136/L$13)*M$13</f>
        <v>1.0536419986298213</v>
      </c>
      <c r="N136" s="6">
        <f ca="1">IF(N$6=OFFSET(Assumptions!$B$8,0,$C$1),AVERAGE(K$136/K$13,L$136/L$13,M$136/M$13),M$136/M$13)*N$13</f>
        <v>1.1005905047296278</v>
      </c>
      <c r="O136" s="6">
        <f ca="1">IF(O$6=OFFSET(Assumptions!$B$8,0,$C$1),AVERAGE(L$136/L$13,M$136/M$13,N$136/N$13),N$136/N$13)*O$13</f>
        <v>1.1487411709561992</v>
      </c>
      <c r="P136" s="6">
        <f ca="1">IF(P$6=OFFSET(Assumptions!$B$8,0,$C$1),AVERAGE(M$136/M$13,N$136/N$13,O$136/O$13),O$136/O$13)*P$13</f>
        <v>1.198526938178313</v>
      </c>
      <c r="Q136" s="6">
        <f ca="1">IF(Q$6=OFFSET(Assumptions!$B$8,0,$C$1),AVERAGE(N$136/N$13,O$136/O$13,P$136/P$13),P$136/P$13)*Q$13</f>
        <v>1.2500271166545196</v>
      </c>
      <c r="R136" s="6">
        <f ca="1">IF(R$6=OFFSET(Assumptions!$B$8,0,$C$1),AVERAGE(O$136/O$13,P$136/P$13,Q$136/Q$13),Q$136/Q$13)*R$13</f>
        <v>1.3031530917267933</v>
      </c>
      <c r="S136" s="6">
        <f ca="1">IF(S$6=OFFSET(Assumptions!$B$8,0,$C$1),AVERAGE(P$136/P$13,Q$136/Q$13,R$136/R$13),R$136/R$13)*S$13</f>
        <v>1.3580630876334574</v>
      </c>
      <c r="T136" s="6">
        <f ca="1">IF(T$6=OFFSET(Assumptions!$B$8,0,$C$1),AVERAGE(Q$136/Q$13,R$136/R$13,S$136/S$13),S$136/S$13)*T$13</f>
        <v>1.4148070713215548</v>
      </c>
      <c r="U136" s="6">
        <f ca="1">IF(U$6=OFFSET(Assumptions!$B$8,0,$C$1),AVERAGE(R$136/R$13,S$136/S$13,T$136/T$13),T$136/T$13)*U$13</f>
        <v>1.4735565765250027</v>
      </c>
    </row>
    <row r="137" spans="1:21" ht="15" x14ac:dyDescent="0.25">
      <c r="A137" s="2" t="s">
        <v>418</v>
      </c>
      <c r="B137" s="4"/>
      <c r="D137" s="34">
        <f>SUM(D$135:D$136)</f>
        <v>0.99299999999999999</v>
      </c>
      <c r="E137" s="34">
        <f t="shared" ref="E137:U137" si="96">SUM(E$135:E$136)</f>
        <v>1.1160000000000001</v>
      </c>
      <c r="F137" s="34">
        <f t="shared" si="96"/>
        <v>1.458</v>
      </c>
      <c r="G137" s="33">
        <f t="shared" si="96"/>
        <v>1.5860000000000001</v>
      </c>
      <c r="H137" s="33">
        <f t="shared" si="96"/>
        <v>1.7310000000000001</v>
      </c>
      <c r="I137" s="33">
        <f t="shared" si="96"/>
        <v>1.792</v>
      </c>
      <c r="J137" s="33">
        <f t="shared" si="96"/>
        <v>1.845</v>
      </c>
      <c r="K137" s="33">
        <f t="shared" si="96"/>
        <v>1.893</v>
      </c>
      <c r="L137" s="37">
        <f t="shared" ca="1" si="96"/>
        <v>1.5751135515151014</v>
      </c>
      <c r="M137" s="37">
        <f t="shared" ca="1" si="96"/>
        <v>1.6469323244038194</v>
      </c>
      <c r="N137" s="37">
        <f t="shared" ca="1" si="96"/>
        <v>1.7203168443629622</v>
      </c>
      <c r="O137" s="37">
        <f t="shared" ca="1" si="96"/>
        <v>1.7955804431500686</v>
      </c>
      <c r="P137" s="37">
        <f t="shared" ca="1" si="96"/>
        <v>1.8733998442749002</v>
      </c>
      <c r="Q137" s="37">
        <f t="shared" ca="1" si="96"/>
        <v>1.953899016437104</v>
      </c>
      <c r="R137" s="37">
        <f t="shared" ca="1" si="96"/>
        <v>2.0369394473669447</v>
      </c>
      <c r="S137" s="37">
        <f t="shared" ca="1" si="96"/>
        <v>2.1227684550461827</v>
      </c>
      <c r="T137" s="37">
        <f t="shared" ca="1" si="96"/>
        <v>2.2114641420754584</v>
      </c>
      <c r="U137" s="37">
        <f t="shared" ca="1" si="96"/>
        <v>2.3032946303135056</v>
      </c>
    </row>
    <row r="138" spans="1:21" x14ac:dyDescent="0.2">
      <c r="A138" s="1" t="s">
        <v>256</v>
      </c>
      <c r="B138" s="4" t="str">
        <f>$B$37</f>
        <v>From Fiscal</v>
      </c>
      <c r="D138" s="14">
        <f>'Fiscal Forecasts'!D$213</f>
        <v>3.2759999999999998</v>
      </c>
      <c r="E138" s="14">
        <f>'Fiscal Forecasts'!E$213</f>
        <v>2.819</v>
      </c>
      <c r="F138" s="14">
        <f>'Fiscal Forecasts'!F$213</f>
        <v>2.8820000000000001</v>
      </c>
      <c r="G138" s="15">
        <f>'Fiscal Forecasts'!G$213</f>
        <v>2.7210000000000001</v>
      </c>
      <c r="H138" s="15">
        <f>'Fiscal Forecasts'!H$213</f>
        <v>2.8740000000000001</v>
      </c>
      <c r="I138" s="15">
        <f>'Fiscal Forecasts'!I$213</f>
        <v>3.262</v>
      </c>
      <c r="J138" s="15">
        <f>'Fiscal Forecasts'!J$213</f>
        <v>3.456</v>
      </c>
      <c r="K138" s="15">
        <f>'Fiscal Forecasts'!K$213</f>
        <v>3.694</v>
      </c>
      <c r="L138" s="6">
        <f>K$138*(Exogenous!S$23-Exogenous!S$24)/(Exogenous!R$23-Exogenous!R$24)</f>
        <v>3.8322981110532162</v>
      </c>
      <c r="M138" s="6">
        <f>L$138*(Exogenous!T$23-Exogenous!T$24)/(Exogenous!S$23-Exogenous!S$24)</f>
        <v>4.1091474653701336</v>
      </c>
      <c r="N138" s="6">
        <f>M$138*(Exogenous!U$23-Exogenous!U$24)/(Exogenous!T$23-Exogenous!T$24)</f>
        <v>4.2475288950526107</v>
      </c>
      <c r="O138" s="6">
        <f>N$138*(Exogenous!V$23-Exogenous!V$24)/(Exogenous!U$23-Exogenous!U$24)</f>
        <v>4.5106665953986109</v>
      </c>
      <c r="P138" s="6">
        <f>O$138*(Exogenous!W$23-Exogenous!W$24)/(Exogenous!V$23-Exogenous!V$24)</f>
        <v>4.6668325072750489</v>
      </c>
      <c r="Q138" s="6">
        <f>P$138*(Exogenous!X$23-Exogenous!X$24)/(Exogenous!W$23-Exogenous!W$24)</f>
        <v>4.9758473105584233</v>
      </c>
      <c r="R138" s="6">
        <f>Q$138*(Exogenous!Y$23-Exogenous!Y$24)/(Exogenous!X$23-Exogenous!X$24)</f>
        <v>5.1407463021564057</v>
      </c>
      <c r="S138" s="6">
        <f>R$138*(Exogenous!Z$23-Exogenous!Z$24)/(Exogenous!Y$23-Exogenous!Y$24)</f>
        <v>5.4624886573886915</v>
      </c>
      <c r="T138" s="6">
        <f>S$138*(Exogenous!AA$23-Exogenous!AA$24)/(Exogenous!Z$23-Exogenous!Z$24)</f>
        <v>5.6455289019867108</v>
      </c>
      <c r="U138" s="6">
        <f>T$138*(Exogenous!AB$23-Exogenous!AB$24)/(Exogenous!AA$23-Exogenous!AA$24)</f>
        <v>6.0022611651195881</v>
      </c>
    </row>
    <row r="139" spans="1:21" x14ac:dyDescent="0.2">
      <c r="A139" s="1" t="s">
        <v>419</v>
      </c>
      <c r="B139" s="4" t="str">
        <f>$B$37</f>
        <v>From Fiscal</v>
      </c>
      <c r="D139" s="14">
        <f>'Fiscal Forecasts'!D$214-D$137</f>
        <v>0.68400000000000005</v>
      </c>
      <c r="E139" s="14">
        <f>'Fiscal Forecasts'!E$214-E$137</f>
        <v>0.70799999999999996</v>
      </c>
      <c r="F139" s="14">
        <f>'Fiscal Forecasts'!F$214-F$137</f>
        <v>0.74099999999999988</v>
      </c>
      <c r="G139" s="15">
        <f>'Fiscal Forecasts'!G$214-G$137</f>
        <v>0.93300000000000005</v>
      </c>
      <c r="H139" s="15">
        <f>'Fiscal Forecasts'!H$214-H$137</f>
        <v>1.0279999999999998</v>
      </c>
      <c r="I139" s="15">
        <f>'Fiscal Forecasts'!I$214-I$137</f>
        <v>1.0519999999999998</v>
      </c>
      <c r="J139" s="15">
        <f>'Fiscal Forecasts'!J$214-J$137</f>
        <v>1.0719999999999998</v>
      </c>
      <c r="K139" s="15">
        <f>'Fiscal Forecasts'!K$214-K$137</f>
        <v>1.091</v>
      </c>
      <c r="L139" s="6">
        <f ca="1">IF(L$6=OFFSET(Assumptions!$B$8,0,$C$1),AVERAGE(I$139/I$13,J$139/J$13,K$139/K$13),K$139/K$13)*L$13</f>
        <v>1.1729831461220797</v>
      </c>
      <c r="M139" s="6">
        <f ca="1">IF(M$6=OFFSET(Assumptions!$B$8,0,$C$1),AVERAGE(J$139/J$13,K$139/K$13,L$139/L$13),L$139/L$13)*M$13</f>
        <v>1.2264664077527114</v>
      </c>
      <c r="N139" s="6">
        <f ca="1">IF(N$6=OFFSET(Assumptions!$B$8,0,$C$1),AVERAGE(K$139/K$13,L$139/L$13,M$139/M$13),M$139/M$13)*N$13</f>
        <v>1.281115677334282</v>
      </c>
      <c r="O139" s="6">
        <f ca="1">IF(O$6=OFFSET(Assumptions!$B$8,0,$C$1),AVERAGE(L$139/L$13,M$139/M$13,N$139/N$13),N$139/N$13)*O$13</f>
        <v>1.3371642922476963</v>
      </c>
      <c r="P139" s="6">
        <f ca="1">IF(P$6=OFFSET(Assumptions!$B$8,0,$C$1),AVERAGE(M$139/M$13,N$139/N$13,O$139/O$13),O$139/O$13)*P$13</f>
        <v>1.3951162068083565</v>
      </c>
      <c r="Q139" s="6">
        <f ca="1">IF(Q$6=OFFSET(Assumptions!$B$8,0,$C$1),AVERAGE(N$139/N$13,O$139/O$13,P$139/P$13),P$139/P$13)*Q$13</f>
        <v>1.4550637401987065</v>
      </c>
      <c r="R139" s="6">
        <f ca="1">IF(R$6=OFFSET(Assumptions!$B$8,0,$C$1),AVERAGE(O$139/O$13,P$139/P$13,Q$139/Q$13),Q$139/Q$13)*R$13</f>
        <v>1.5169037426758132</v>
      </c>
      <c r="S139" s="6">
        <f ca="1">IF(S$6=OFFSET(Assumptions!$B$8,0,$C$1),AVERAGE(P$139/P$13,Q$139/Q$13,R$139/R$13),R$139/R$13)*S$13</f>
        <v>1.5808203913258667</v>
      </c>
      <c r="T139" s="6">
        <f ca="1">IF(T$6=OFFSET(Assumptions!$B$8,0,$C$1),AVERAGE(Q$139/Q$13,R$139/R$13,S$139/S$13),S$139/S$13)*T$13</f>
        <v>1.6468718489614027</v>
      </c>
      <c r="U139" s="6">
        <f ca="1">IF(U$6=OFFSET(Assumptions!$B$8,0,$C$1),AVERAGE(R$139/R$13,S$139/S$13,T$139/T$13),T$139/T$13)*U$13</f>
        <v>1.7152577852640776</v>
      </c>
    </row>
    <row r="140" spans="1:21" ht="15" x14ac:dyDescent="0.25">
      <c r="A140" s="2" t="s">
        <v>420</v>
      </c>
      <c r="D140" s="34">
        <f t="shared" ref="D140:U140" si="97">SUM(D$137:D$139)</f>
        <v>4.9530000000000003</v>
      </c>
      <c r="E140" s="34">
        <f t="shared" si="97"/>
        <v>4.6429999999999998</v>
      </c>
      <c r="F140" s="34">
        <f t="shared" si="97"/>
        <v>5.0809999999999995</v>
      </c>
      <c r="G140" s="33">
        <f t="shared" si="97"/>
        <v>5.24</v>
      </c>
      <c r="H140" s="33">
        <f t="shared" si="97"/>
        <v>5.633</v>
      </c>
      <c r="I140" s="33">
        <f t="shared" si="97"/>
        <v>6.1059999999999999</v>
      </c>
      <c r="J140" s="33">
        <f t="shared" si="97"/>
        <v>6.3730000000000002</v>
      </c>
      <c r="K140" s="33">
        <f t="shared" si="97"/>
        <v>6.6779999999999999</v>
      </c>
      <c r="L140" s="37">
        <f t="shared" ca="1" si="97"/>
        <v>6.5803948086903965</v>
      </c>
      <c r="M140" s="37">
        <f t="shared" ca="1" si="97"/>
        <v>6.9825461975266645</v>
      </c>
      <c r="N140" s="37">
        <f t="shared" ca="1" si="97"/>
        <v>7.2489614167498546</v>
      </c>
      <c r="O140" s="37">
        <f t="shared" ca="1" si="97"/>
        <v>7.6434113307963756</v>
      </c>
      <c r="P140" s="37">
        <f t="shared" ca="1" si="97"/>
        <v>7.9353485583583065</v>
      </c>
      <c r="Q140" s="37">
        <f t="shared" ca="1" si="97"/>
        <v>8.3848100671942341</v>
      </c>
      <c r="R140" s="37">
        <f t="shared" ca="1" si="97"/>
        <v>8.6945894921991638</v>
      </c>
      <c r="S140" s="37">
        <f t="shared" ca="1" si="97"/>
        <v>9.1660775037607412</v>
      </c>
      <c r="T140" s="37">
        <f t="shared" ca="1" si="97"/>
        <v>9.5038648930235716</v>
      </c>
      <c r="U140" s="37">
        <f t="shared" ca="1" si="97"/>
        <v>10.020813580697171</v>
      </c>
    </row>
    <row r="141" spans="1:21" ht="15" x14ac:dyDescent="0.25">
      <c r="A141" s="2"/>
      <c r="D141" s="46"/>
      <c r="E141" s="46"/>
      <c r="F141" s="46"/>
      <c r="G141" s="47"/>
      <c r="H141" s="47"/>
      <c r="I141" s="47"/>
      <c r="J141" s="47"/>
      <c r="K141" s="47"/>
      <c r="L141" s="47"/>
      <c r="M141" s="47"/>
      <c r="N141" s="47"/>
      <c r="O141" s="47"/>
      <c r="P141" s="47"/>
      <c r="Q141" s="47"/>
      <c r="R141" s="47"/>
      <c r="S141" s="47"/>
      <c r="T141" s="47"/>
      <c r="U141" s="47"/>
    </row>
    <row r="142" spans="1:21" x14ac:dyDescent="0.2">
      <c r="A142" s="18" t="s">
        <v>143</v>
      </c>
    </row>
    <row r="143" spans="1:21" ht="15" x14ac:dyDescent="0.25">
      <c r="A143" s="2" t="s">
        <v>421</v>
      </c>
      <c r="B143" s="4" t="str">
        <f>$B$37</f>
        <v>From Fiscal</v>
      </c>
      <c r="D143" s="39">
        <f>'Fiscal Forecasts'!D$151</f>
        <v>1.393</v>
      </c>
      <c r="E143" s="39">
        <f>'Fiscal Forecasts'!E$151</f>
        <v>1.4530000000000001</v>
      </c>
      <c r="F143" s="39">
        <f>'Fiscal Forecasts'!F$151</f>
        <v>1.607</v>
      </c>
      <c r="G143" s="38">
        <f>'Fiscal Forecasts'!G$151</f>
        <v>1.6839999999999999</v>
      </c>
      <c r="H143" s="38">
        <f>'Fiscal Forecasts'!H$151</f>
        <v>1.976</v>
      </c>
      <c r="I143" s="38">
        <f>'Fiscal Forecasts'!I$151</f>
        <v>1.784</v>
      </c>
      <c r="J143" s="38">
        <f>'Fiscal Forecasts'!J$151</f>
        <v>1.7769999999999999</v>
      </c>
      <c r="K143" s="38">
        <f>'Fiscal Forecasts'!K$151</f>
        <v>1.718</v>
      </c>
      <c r="L143" s="7">
        <f ca="1">IF(L$6=OFFSET(Assumptions!$B$8,0,$C$1),AVERAGE(I$143/I$13,J$143/J$13,K$143/K$13),K$143/K$13)*L$13</f>
        <v>1.928132786216193</v>
      </c>
      <c r="M143" s="7">
        <f ca="1">IF(M$6=OFFSET(Assumptions!$B$8,0,$C$1),AVERAGE(J$143/J$13,K$143/K$13,L$143/L$13),L$143/L$13)*M$13</f>
        <v>2.0160478006856906</v>
      </c>
      <c r="N143" s="7">
        <f ca="1">IF(N$6=OFFSET(Assumptions!$B$8,0,$C$1),AVERAGE(K$143/K$13,L$143/L$13,M$143/M$13),M$143/M$13)*N$13</f>
        <v>2.1058794822161144</v>
      </c>
      <c r="O143" s="7">
        <f ca="1">IF(O$6=OFFSET(Assumptions!$B$8,0,$C$1),AVERAGE(L$143/L$13,M$143/M$13,N$143/N$13),N$143/N$13)*O$13</f>
        <v>2.1980113874304732</v>
      </c>
      <c r="P143" s="7">
        <f ca="1">IF(P$6=OFFSET(Assumptions!$B$8,0,$C$1),AVERAGE(M$143/M$13,N$143/N$13,O$143/O$13),O$143/O$13)*P$13</f>
        <v>2.2932719091675682</v>
      </c>
      <c r="Q143" s="7">
        <f ca="1">IF(Q$6=OFFSET(Assumptions!$B$8,0,$C$1),AVERAGE(N$143/N$13,O$143/O$13,P$143/P$13),P$143/P$13)*Q$13</f>
        <v>2.3918128003686547</v>
      </c>
      <c r="R143" s="7">
        <f ca="1">IF(R$6=OFFSET(Assumptions!$B$8,0,$C$1),AVERAGE(O$143/O$13,P$143/P$13,Q$143/Q$13),Q$143/Q$13)*R$13</f>
        <v>2.4934645049732751</v>
      </c>
      <c r="S143" s="7">
        <f ca="1">IF(S$6=OFFSET(Assumptions!$B$8,0,$C$1),AVERAGE(P$143/P$13,Q$143/Q$13,R$143/R$13),R$143/R$13)*S$13</f>
        <v>2.5985297706206665</v>
      </c>
      <c r="T143" s="7">
        <f ca="1">IF(T$6=OFFSET(Assumptions!$B$8,0,$C$1),AVERAGE(Q$143/Q$13,R$143/R$13,S$143/S$13),S$143/S$13)*T$13</f>
        <v>2.7071042045036169</v>
      </c>
      <c r="U143" s="7">
        <f ca="1">IF(U$6=OFFSET(Assumptions!$B$8,0,$C$1),AVERAGE(R$143/R$13,S$143/S$13,T$143/T$13),T$143/T$13)*U$13</f>
        <v>2.8195160207664536</v>
      </c>
    </row>
    <row r="144" spans="1:21" ht="15" x14ac:dyDescent="0.25">
      <c r="A144" s="2" t="s">
        <v>422</v>
      </c>
      <c r="B144" s="4" t="str">
        <f>$B$37</f>
        <v>From Fiscal</v>
      </c>
      <c r="D144" s="39">
        <f>'Fiscal Forecasts'!D$11</f>
        <v>16.866</v>
      </c>
      <c r="E144" s="39">
        <f>'Fiscal Forecasts'!E$11</f>
        <v>16.364000000000001</v>
      </c>
      <c r="F144" s="39">
        <f>'Fiscal Forecasts'!F$11</f>
        <v>16.870999999999999</v>
      </c>
      <c r="G144" s="38">
        <f>'Fiscal Forecasts'!G$11</f>
        <v>18.477</v>
      </c>
      <c r="H144" s="38">
        <f>'Fiscal Forecasts'!H$11</f>
        <v>19.236999999999998</v>
      </c>
      <c r="I144" s="38">
        <f>'Fiscal Forecasts'!I$11</f>
        <v>19.765000000000001</v>
      </c>
      <c r="J144" s="38">
        <f>'Fiscal Forecasts'!J$11</f>
        <v>20.263000000000002</v>
      </c>
      <c r="K144" s="38">
        <f>'Fiscal Forecasts'!K$11</f>
        <v>20.747</v>
      </c>
      <c r="L144" s="7">
        <f ca="1">SUM(L$143,IF(L$6=OFFSET(Assumptions!$B$8,0,$C$1),AVERAGE((I$144-I$143)/I$13,(J$144-J$143)/J$13,(K$144-K$143)/K$13),(K$144-K$143)/K$13)*L$13)</f>
        <v>22.169597892253343</v>
      </c>
      <c r="M144" s="7">
        <f ca="1">SUM(M$143,IF(M$6=OFFSET(Assumptions!$B$8,0,$C$1),AVERAGE((J$144-J$143)/J$13,(K$144-K$143)/K$13,(L$144-L$143)/L$13),(L$144-L$143)/L$13)*M$13)</f>
        <v>23.180441405425086</v>
      </c>
      <c r="N144" s="7">
        <f ca="1">SUM(N$143,IF(N$6=OFFSET(Assumptions!$B$8,0,$C$1),AVERAGE((K$144-K$143)/K$13,(L$144-L$143)/L$13,(M$144-M$143)/M$13),(M$144-M$143)/M$13)*N$13)</f>
        <v>24.213322684013107</v>
      </c>
      <c r="O144" s="7">
        <f ca="1">SUM(O$143,IF(O$6=OFFSET(Assumptions!$B$8,0,$C$1),AVERAGE((L$144-L$143)/L$13,(M$144-M$143)/M$13,(N$144-N$143)/N$13),(N$144-N$143)/N$13)*O$13)</f>
        <v>25.272651847570266</v>
      </c>
      <c r="P144" s="7">
        <f ca="1">SUM(P$143,IF(P$6=OFFSET(Assumptions!$B$8,0,$C$1),AVERAGE((M$144-M$143)/M$13,(N$144-N$143)/N$13,(O$144-O$143)/O$13),(O$144-O$143)/O$13)*P$13)</f>
        <v>26.367953725643751</v>
      </c>
      <c r="Q144" s="7">
        <f ca="1">SUM(Q$143,IF(Q$6=OFFSET(Assumptions!$B$8,0,$C$1),AVERAGE((N$144-N$143)/N$13,(O$144-O$143)/O$13,(P$144-P$143)/P$13),(P$144-P$143)/P$13)*Q$13)</f>
        <v>27.500973167815832</v>
      </c>
      <c r="R144" s="7">
        <f ca="1">SUM(R$143,IF(R$6=OFFSET(Assumptions!$B$8,0,$C$1),AVERAGE((O$144-O$143)/O$13,(P$144-P$143)/P$13,(Q$144-Q$143)/Q$13),(Q$144-Q$143)/Q$13)*R$13)</f>
        <v>28.669760624912609</v>
      </c>
      <c r="S144" s="7">
        <f ca="1">SUM(S$143,IF(S$6=OFFSET(Assumptions!$B$8,0,$C$1),AVERAGE((P$144-P$143)/P$13,(Q$144-Q$143)/Q$13,(R$144-R$143)/R$13),(R$144-R$143)/R$13)*S$13)</f>
        <v>29.877797077846132</v>
      </c>
      <c r="T144" s="7">
        <f ca="1">SUM(T$143,IF(T$6=OFFSET(Assumptions!$B$8,0,$C$1),AVERAGE((Q$144-Q$143)/Q$13,(R$144-R$143)/R$13,(S$144-S$143)/S$13),(S$144-S$143)/S$13)*T$13)</f>
        <v>31.126181814505124</v>
      </c>
      <c r="U144" s="7">
        <f ca="1">SUM(U$143,IF(U$6=OFFSET(Assumptions!$B$8,0,$C$1),AVERAGE((R$144-R$143)/R$13,(S$144-S$143)/S$13,(T$144-T$143)/T$13),(T$144-T$143)/T$13)*U$13)</f>
        <v>32.418688628714506</v>
      </c>
    </row>
    <row r="145" spans="1:21" ht="15" x14ac:dyDescent="0.25">
      <c r="A145" s="2"/>
      <c r="B145" s="4"/>
      <c r="D145" s="39"/>
      <c r="E145" s="39"/>
      <c r="F145" s="39"/>
      <c r="G145" s="38"/>
      <c r="H145" s="38"/>
      <c r="I145" s="38"/>
      <c r="J145" s="38"/>
      <c r="K145" s="38"/>
      <c r="L145" s="7"/>
      <c r="M145" s="7"/>
      <c r="N145" s="7"/>
      <c r="O145" s="7"/>
      <c r="P145" s="7"/>
      <c r="Q145" s="7"/>
      <c r="R145" s="7"/>
      <c r="S145" s="7"/>
      <c r="T145" s="7"/>
      <c r="U145" s="7"/>
    </row>
    <row r="146" spans="1:21" x14ac:dyDescent="0.2">
      <c r="A146" s="18" t="s">
        <v>1245</v>
      </c>
    </row>
    <row r="147" spans="1:21" x14ac:dyDescent="0.2">
      <c r="A147" s="1" t="s">
        <v>634</v>
      </c>
      <c r="D147" s="14">
        <f t="shared" ref="D147:U147" si="98">D$393</f>
        <v>0.60399999999999998</v>
      </c>
      <c r="E147" s="14">
        <f t="shared" si="98"/>
        <v>0.60299999999999998</v>
      </c>
      <c r="F147" s="14">
        <f t="shared" si="98"/>
        <v>0.60199999999999998</v>
      </c>
      <c r="G147" s="15">
        <f t="shared" si="98"/>
        <v>0.59</v>
      </c>
      <c r="H147" s="15">
        <f t="shared" si="98"/>
        <v>0.58399999999999996</v>
      </c>
      <c r="I147" s="15">
        <f t="shared" si="98"/>
        <v>0.57399999999999995</v>
      </c>
      <c r="J147" s="15">
        <f t="shared" si="98"/>
        <v>0.55800000000000005</v>
      </c>
      <c r="K147" s="15">
        <f t="shared" si="98"/>
        <v>0.53700000000000003</v>
      </c>
      <c r="L147" s="6">
        <f t="shared" si="98"/>
        <v>0.52300000000000002</v>
      </c>
      <c r="M147" s="6">
        <f t="shared" si="98"/>
        <v>0.54300000000000004</v>
      </c>
      <c r="N147" s="6">
        <f t="shared" si="98"/>
        <v>0.55400000000000005</v>
      </c>
      <c r="O147" s="6">
        <f t="shared" si="98"/>
        <v>0.56399999999999995</v>
      </c>
      <c r="P147" s="6">
        <f t="shared" si="98"/>
        <v>0.57099999999999995</v>
      </c>
      <c r="Q147" s="6">
        <f t="shared" si="98"/>
        <v>0.57699999999999996</v>
      </c>
      <c r="R147" s="6">
        <f t="shared" si="98"/>
        <v>0.58499999999999996</v>
      </c>
      <c r="S147" s="6">
        <f t="shared" si="98"/>
        <v>0.59399999999999997</v>
      </c>
      <c r="T147" s="6">
        <f t="shared" si="98"/>
        <v>0.60499999999999998</v>
      </c>
      <c r="U147" s="6">
        <f t="shared" si="98"/>
        <v>0.61499999999999999</v>
      </c>
    </row>
    <row r="148" spans="1:21" x14ac:dyDescent="0.2">
      <c r="A148" s="1" t="s">
        <v>1269</v>
      </c>
      <c r="D148" s="14">
        <f ca="1">OFFSET(Assumptions!$B$78,0,$C$1)*D$366</f>
        <v>0.27360000000000001</v>
      </c>
      <c r="E148" s="14">
        <f ca="1">OFFSET(Assumptions!$B$78,0,$C$1)*E$366</f>
        <v>0.27072000000000002</v>
      </c>
      <c r="F148" s="14">
        <f ca="1">OFFSET(Assumptions!$B$78,0,$C$1)*F$366</f>
        <v>0.29987999999999998</v>
      </c>
      <c r="G148" s="15">
        <f ca="1">OFFSET(Assumptions!$B$78,0,$C$1)*G$366</f>
        <v>0.28944000000000003</v>
      </c>
      <c r="H148" s="15">
        <f ca="1">OFFSET(Assumptions!$B$78,0,$C$1)*H$366</f>
        <v>0.33732000000000001</v>
      </c>
      <c r="I148" s="15">
        <f ca="1">OFFSET(Assumptions!$B$78,0,$C$1)*I$366</f>
        <v>0.36683999999999994</v>
      </c>
      <c r="J148" s="15">
        <f ca="1">OFFSET(Assumptions!$B$78,0,$C$1)*J$366</f>
        <v>0.40211999999999998</v>
      </c>
      <c r="K148" s="15">
        <f ca="1">OFFSET(Assumptions!$B$78,0,$C$1)*K$366</f>
        <v>0.44495999999999997</v>
      </c>
      <c r="L148" s="6">
        <f ca="1">OFFSET(Assumptions!$B$78,0,$C$1)*L$366</f>
        <v>0.41487954097496382</v>
      </c>
      <c r="M148" s="6">
        <f ca="1">OFFSET(Assumptions!$B$78,0,$C$1)*M$366</f>
        <v>0.46819617585470075</v>
      </c>
      <c r="N148" s="6">
        <f ca="1">OFFSET(Assumptions!$B$78,0,$C$1)*N$366</f>
        <v>0.52579498926774459</v>
      </c>
      <c r="O148" s="6">
        <f ca="1">OFFSET(Assumptions!$B$78,0,$C$1)*O$366</f>
        <v>0.58762780371406398</v>
      </c>
      <c r="P148" s="6">
        <f ca="1">OFFSET(Assumptions!$B$78,0,$C$1)*P$366</f>
        <v>0.65372215807486111</v>
      </c>
      <c r="Q148" s="6">
        <f ca="1">OFFSET(Assumptions!$B$78,0,$C$1)*Q$366</f>
        <v>0.70684334167607843</v>
      </c>
      <c r="R148" s="6">
        <f ca="1">OFFSET(Assumptions!$B$78,0,$C$1)*R$366</f>
        <v>0.76011639335490055</v>
      </c>
      <c r="S148" s="6">
        <f ca="1">OFFSET(Assumptions!$B$78,0,$C$1)*S$366</f>
        <v>0.81457301664657</v>
      </c>
      <c r="T148" s="6">
        <f ca="1">OFFSET(Assumptions!$B$78,0,$C$1)*T$366</f>
        <v>0.87047315150698978</v>
      </c>
      <c r="U148" s="6">
        <f ca="1">OFFSET(Assumptions!$B$78,0,$C$1)*U$366</f>
        <v>0.92789705820470847</v>
      </c>
    </row>
    <row r="149" spans="1:21" x14ac:dyDescent="0.2">
      <c r="A149" s="1" t="s">
        <v>1270</v>
      </c>
      <c r="B149" s="4" t="str">
        <f>$B$37</f>
        <v>From Fiscal</v>
      </c>
      <c r="D149" s="14">
        <f ca="1">'Fiscal Forecasts'!D$152-SUM(D$147:D$148)</f>
        <v>0.26340000000000008</v>
      </c>
      <c r="E149" s="14">
        <f ca="1">'Fiscal Forecasts'!E$152-SUM(E$147:E$148)</f>
        <v>0.22628000000000004</v>
      </c>
      <c r="F149" s="14">
        <f ca="1">'Fiscal Forecasts'!F$152-SUM(F$147:F$148)</f>
        <v>0.21711999999999998</v>
      </c>
      <c r="G149" s="15">
        <f ca="1">'Fiscal Forecasts'!G$152-SUM(G$147:G$148)</f>
        <v>0.26356000000000002</v>
      </c>
      <c r="H149" s="15">
        <f ca="1">'Fiscal Forecasts'!H$152-SUM(H$147:H$148)</f>
        <v>0.40568000000000004</v>
      </c>
      <c r="I149" s="15">
        <f ca="1">'Fiscal Forecasts'!I$152-SUM(I$147:I$148)</f>
        <v>0.35216000000000003</v>
      </c>
      <c r="J149" s="15">
        <f ca="1">'Fiscal Forecasts'!J$152-SUM(J$147:J$148)</f>
        <v>0.46287999999999996</v>
      </c>
      <c r="K149" s="15">
        <f ca="1">'Fiscal Forecasts'!K$152-SUM(K$147:K$148)</f>
        <v>0.35804000000000014</v>
      </c>
      <c r="L149" s="6">
        <f ca="1">OFFSET(Assumptions!$B$45,0,$C$1)*AVERAGE(SUM(K$336,K$382),SUM(L$336,L$382))*L$225</f>
        <v>0.20239072658982904</v>
      </c>
      <c r="M149" s="6">
        <f ca="1">OFFSET(Assumptions!$B$45,0,$C$1)*AVERAGE(SUM(L$336,L$382),SUM(M$336,M$382))*M$225</f>
        <v>0.23804245096962423</v>
      </c>
      <c r="N149" s="6">
        <f ca="1">OFFSET(Assumptions!$B$45,0,$C$1)*AVERAGE(SUM(M$336,M$382),SUM(N$336,N$382))*N$225</f>
        <v>0.27501067584392019</v>
      </c>
      <c r="O149" s="6">
        <f ca="1">OFFSET(Assumptions!$B$45,0,$C$1)*AVERAGE(SUM(N$336,N$382),SUM(O$336,O$382))*O$225</f>
        <v>0.31271118817054772</v>
      </c>
      <c r="P149" s="6">
        <f ca="1">OFFSET(Assumptions!$B$45,0,$C$1)*AVERAGE(SUM(O$336,O$382),SUM(P$336,P$382))*P$225</f>
        <v>0.35051180284563116</v>
      </c>
      <c r="Q149" s="6">
        <f ca="1">OFFSET(Assumptions!$B$45,0,$C$1)*AVERAGE(SUM(P$336,P$382),SUM(Q$336,Q$382))*Q$225</f>
        <v>0.38767598597023678</v>
      </c>
      <c r="R149" s="6">
        <f ca="1">OFFSET(Assumptions!$B$45,0,$C$1)*AVERAGE(SUM(Q$336,Q$382),SUM(R$336,R$382))*R$225</f>
        <v>0.42539488405091774</v>
      </c>
      <c r="S149" s="6">
        <f ca="1">OFFSET(Assumptions!$B$45,0,$C$1)*AVERAGE(SUM(R$336,R$382),SUM(S$336,S$382))*S$225</f>
        <v>0.44339516041098359</v>
      </c>
      <c r="T149" s="6">
        <f ca="1">OFFSET(Assumptions!$B$45,0,$C$1)*AVERAGE(SUM(S$336,S$382),SUM(T$336,T$382))*T$225</f>
        <v>0.46199824669044753</v>
      </c>
      <c r="U149" s="6">
        <f ca="1">OFFSET(Assumptions!$B$45,0,$C$1)*AVERAGE(SUM(T$336,T$382),SUM(U$336,U$382))*U$225</f>
        <v>0.48124104794449724</v>
      </c>
    </row>
    <row r="150" spans="1:21" ht="15" x14ac:dyDescent="0.25">
      <c r="A150" s="2" t="s">
        <v>1271</v>
      </c>
      <c r="D150" s="34">
        <f t="shared" ref="D150:U150" ca="1" si="99">SUM(D$147:D$149)</f>
        <v>1.141</v>
      </c>
      <c r="E150" s="34">
        <f t="shared" ca="1" si="99"/>
        <v>1.1000000000000001</v>
      </c>
      <c r="F150" s="34">
        <f t="shared" ca="1" si="99"/>
        <v>1.119</v>
      </c>
      <c r="G150" s="33">
        <f t="shared" ca="1" si="99"/>
        <v>1.143</v>
      </c>
      <c r="H150" s="33">
        <f t="shared" ca="1" si="99"/>
        <v>1.327</v>
      </c>
      <c r="I150" s="33">
        <f t="shared" ca="1" si="99"/>
        <v>1.2929999999999999</v>
      </c>
      <c r="J150" s="33">
        <f t="shared" ca="1" si="99"/>
        <v>1.423</v>
      </c>
      <c r="K150" s="33">
        <f t="shared" ca="1" si="99"/>
        <v>1.34</v>
      </c>
      <c r="L150" s="37">
        <f t="shared" ca="1" si="99"/>
        <v>1.1402702675647929</v>
      </c>
      <c r="M150" s="37">
        <f t="shared" ca="1" si="99"/>
        <v>1.249238626824325</v>
      </c>
      <c r="N150" s="37">
        <f t="shared" ca="1" si="99"/>
        <v>1.3548056651116649</v>
      </c>
      <c r="O150" s="37">
        <f t="shared" ca="1" si="99"/>
        <v>1.4643389918846117</v>
      </c>
      <c r="P150" s="37">
        <f t="shared" ca="1" si="99"/>
        <v>1.5752339609204922</v>
      </c>
      <c r="Q150" s="37">
        <f t="shared" ca="1" si="99"/>
        <v>1.6715193276463152</v>
      </c>
      <c r="R150" s="37">
        <f t="shared" ca="1" si="99"/>
        <v>1.7705112774058183</v>
      </c>
      <c r="S150" s="37">
        <f t="shared" ca="1" si="99"/>
        <v>1.8519681770575536</v>
      </c>
      <c r="T150" s="37">
        <f t="shared" ca="1" si="99"/>
        <v>1.9374713981974372</v>
      </c>
      <c r="U150" s="37">
        <f t="shared" ca="1" si="99"/>
        <v>2.0241381061492056</v>
      </c>
    </row>
    <row r="151" spans="1:21" x14ac:dyDescent="0.2">
      <c r="A151" s="1" t="s">
        <v>272</v>
      </c>
      <c r="B151" s="4" t="str">
        <f>$B$37</f>
        <v>From Fiscal</v>
      </c>
      <c r="D151" s="14">
        <f>'Fiscal Forecasts'!D$217</f>
        <v>1.109</v>
      </c>
      <c r="E151" s="14">
        <f>'Fiscal Forecasts'!E$217</f>
        <v>1.091</v>
      </c>
      <c r="F151" s="14">
        <f>'Fiscal Forecasts'!F$217</f>
        <v>0.998</v>
      </c>
      <c r="G151" s="15">
        <f>'Fiscal Forecasts'!G$217</f>
        <v>1.0369999999999999</v>
      </c>
      <c r="H151" s="15">
        <f>'Fiscal Forecasts'!H$217</f>
        <v>1.0589999999999999</v>
      </c>
      <c r="I151" s="15">
        <f>'Fiscal Forecasts'!I$217</f>
        <v>1.079</v>
      </c>
      <c r="J151" s="15">
        <f>'Fiscal Forecasts'!J$217</f>
        <v>1.083</v>
      </c>
      <c r="K151" s="15">
        <f>'Fiscal Forecasts'!K$217</f>
        <v>1.0820000000000001</v>
      </c>
      <c r="L151" s="6">
        <f>K$151*Exogenous!S$27/Exogenous!R$27</f>
        <v>1.16146350076944</v>
      </c>
      <c r="M151" s="6">
        <f>L$151*Exogenous!T$27/Exogenous!S$27</f>
        <v>1.2470993997238937</v>
      </c>
      <c r="N151" s="6">
        <f>M$151*Exogenous!U$27/Exogenous!T$27</f>
        <v>1.3384948604970319</v>
      </c>
      <c r="O151" s="6">
        <f>N$151*Exogenous!V$27/Exogenous!U$27</f>
        <v>1.428693132681824</v>
      </c>
      <c r="P151" s="6">
        <f>O$151*Exogenous!W$27/Exogenous!V$27</f>
        <v>1.5146952547737367</v>
      </c>
      <c r="Q151" s="6">
        <f>P$151*Exogenous!X$27/Exogenous!W$27</f>
        <v>1.6227362541261259</v>
      </c>
      <c r="R151" s="6">
        <f>Q$151*Exogenous!Y$27/Exogenous!X$27</f>
        <v>1.7059762311619393</v>
      </c>
      <c r="S151" s="6">
        <f>R$151*Exogenous!Z$27/Exogenous!Y$27</f>
        <v>1.7855937332548439</v>
      </c>
      <c r="T151" s="6">
        <f>S$151*Exogenous!AA$27/Exogenous!Z$27</f>
        <v>1.8695529497896994</v>
      </c>
      <c r="U151" s="6">
        <f>T$151*Exogenous!AB$27/Exogenous!AA$27</f>
        <v>1.9586832230558484</v>
      </c>
    </row>
    <row r="152" spans="1:21" x14ac:dyDescent="0.2">
      <c r="A152" s="1" t="s">
        <v>483</v>
      </c>
      <c r="B152" s="4" t="str">
        <f>$B$37</f>
        <v>From Fiscal</v>
      </c>
      <c r="D152" s="14">
        <f>'Fiscal Forecasts'!D$218</f>
        <v>1.0429999999999999</v>
      </c>
      <c r="E152" s="14">
        <f>'Fiscal Forecasts'!E$218</f>
        <v>0.997</v>
      </c>
      <c r="F152" s="14">
        <f>'Fiscal Forecasts'!F$218</f>
        <v>0.91800000000000004</v>
      </c>
      <c r="G152" s="15">
        <f>'Fiscal Forecasts'!G$218</f>
        <v>0.95699999999999996</v>
      </c>
      <c r="H152" s="15">
        <f>'Fiscal Forecasts'!H$218</f>
        <v>1.008</v>
      </c>
      <c r="I152" s="15">
        <f>'Fiscal Forecasts'!I$218</f>
        <v>1.071</v>
      </c>
      <c r="J152" s="15">
        <f>'Fiscal Forecasts'!J$218</f>
        <v>1.125</v>
      </c>
      <c r="K152" s="15">
        <f>'Fiscal Forecasts'!K$218</f>
        <v>1.159</v>
      </c>
      <c r="L152" s="6">
        <f ca="1">K$152*L$384/K$384</f>
        <v>1.2062098986293488</v>
      </c>
      <c r="M152" s="6">
        <f t="shared" ref="M152:U152" ca="1" si="100">L$152*M$384/L$384</f>
        <v>1.2612081650606526</v>
      </c>
      <c r="N152" s="6">
        <f t="shared" ca="1" si="100"/>
        <v>1.3174054686110768</v>
      </c>
      <c r="O152" s="6">
        <f t="shared" ca="1" si="100"/>
        <v>1.3750417563416664</v>
      </c>
      <c r="P152" s="6">
        <f t="shared" ca="1" si="100"/>
        <v>1.4346352579351798</v>
      </c>
      <c r="Q152" s="6">
        <f t="shared" ca="1" si="100"/>
        <v>1.4962809076726979</v>
      </c>
      <c r="R152" s="6">
        <f t="shared" ca="1" si="100"/>
        <v>1.5598726339185123</v>
      </c>
      <c r="S152" s="6">
        <f t="shared" ca="1" si="100"/>
        <v>1.6255998308895803</v>
      </c>
      <c r="T152" s="6">
        <f t="shared" ca="1" si="100"/>
        <v>1.6935223089595155</v>
      </c>
      <c r="U152" s="6">
        <f t="shared" ca="1" si="100"/>
        <v>1.7638453937949883</v>
      </c>
    </row>
    <row r="153" spans="1:21" x14ac:dyDescent="0.2">
      <c r="A153" s="1" t="s">
        <v>484</v>
      </c>
      <c r="B153" s="4" t="str">
        <f>$B$37</f>
        <v>From Fiscal</v>
      </c>
      <c r="D153" s="14">
        <f>'Fiscal Forecasts'!D$219</f>
        <v>-0.49099999999999999</v>
      </c>
      <c r="E153" s="14">
        <f>'Fiscal Forecasts'!E$219</f>
        <v>-0.4</v>
      </c>
      <c r="F153" s="14">
        <f>'Fiscal Forecasts'!F$219</f>
        <v>-0.308</v>
      </c>
      <c r="G153" s="15">
        <f>'Fiscal Forecasts'!G$219</f>
        <v>-0.39700000000000002</v>
      </c>
      <c r="H153" s="15">
        <f>'Fiscal Forecasts'!H$219</f>
        <v>-0.42799999999999999</v>
      </c>
      <c r="I153" s="15">
        <f>'Fiscal Forecasts'!I$219</f>
        <v>-0.433</v>
      </c>
      <c r="J153" s="15">
        <f>'Fiscal Forecasts'!J$219</f>
        <v>-0.43099999999999999</v>
      </c>
      <c r="K153" s="15">
        <f>'Fiscal Forecasts'!K$219</f>
        <v>-0.42899999999999999</v>
      </c>
      <c r="L153" s="6">
        <f ca="1">IF(L$6=OFFSET(Assumptions!$B$8,0,$C$1),AVERAGE(I$153/SUM(I$151:I$152),J$153/SUM(J$151:J$152),K$153/SUM(K$151:K$152)),K$153/SUM(K$151:K$152))*SUM(L$151:L$152)</f>
        <v>-0.4640853114833457</v>
      </c>
      <c r="M153" s="6">
        <f ca="1">IF(M$6=OFFSET(Assumptions!$B$8,0,$C$1),AVERAGE(J$153/SUM(J$151:J$152),K$153/SUM(K$151:K$152),L$153/SUM(L$151:L$152)),L$153/SUM(L$151:L$152))*SUM(M$151:M$152)</f>
        <v>-0.49165087456515527</v>
      </c>
      <c r="N153" s="6">
        <f ca="1">IF(N$6=OFFSET(Assumptions!$B$8,0,$C$1),AVERAGE(K$153/SUM(K$151:K$152),L$153/SUM(L$151:L$152),M$153/SUM(M$151:M$152)),M$153/SUM(M$151:M$152))*SUM(N$151:N$152)</f>
        <v>-0.52058038571360221</v>
      </c>
      <c r="O153" s="6">
        <f ca="1">IF(O$6=OFFSET(Assumptions!$B$8,0,$C$1),AVERAGE(L$153/SUM(L$151:L$152),M$153/SUM(M$151:M$152),N$153/SUM(N$151:N$152)),N$153/SUM(N$151:N$152))*SUM(O$151:O$152)</f>
        <v>-0.54955729097585437</v>
      </c>
      <c r="P153" s="6">
        <f ca="1">IF(P$6=OFFSET(Assumptions!$B$8,0,$C$1),AVERAGE(M$153/SUM(M$151:M$152),N$153/SUM(N$151:N$152),O$153/SUM(O$151:O$152)),O$153/SUM(O$151:O$152))*SUM(P$151:P$152)</f>
        <v>-0.57809534457134626</v>
      </c>
      <c r="Q153" s="6">
        <f ca="1">IF(Q$6=OFFSET(Assumptions!$B$8,0,$C$1),AVERAGE(N$153/SUM(N$151:N$152),O$153/SUM(O$151:O$152),P$153/SUM(P$151:P$152)),P$153/SUM(P$151:P$152))*SUM(Q$151:Q$152)</f>
        <v>-0.61135545612957509</v>
      </c>
      <c r="R153" s="6">
        <f ca="1">IF(R$6=OFFSET(Assumptions!$B$8,0,$C$1),AVERAGE(O$153/SUM(O$151:O$152),P$153/SUM(P$151:P$152),Q$153/SUM(Q$151:Q$152)),Q$153/SUM(Q$151:Q$152))*SUM(R$151:R$152)</f>
        <v>-0.64013579245906538</v>
      </c>
      <c r="S153" s="6">
        <f ca="1">IF(S$6=OFFSET(Assumptions!$B$8,0,$C$1),AVERAGE(P$153/SUM(P$151:P$152),Q$153/SUM(Q$151:Q$152),R$153/SUM(R$151:R$152)),R$153/SUM(R$151:R$152))*SUM(S$151:S$152)</f>
        <v>-0.66862466256872022</v>
      </c>
      <c r="T153" s="6">
        <f ca="1">IF(T$6=OFFSET(Assumptions!$B$8,0,$C$1),AVERAGE(Q$153/SUM(Q$151:Q$152),R$153/SUM(R$151:R$152),S$153/SUM(S$151:S$152)),S$153/SUM(S$151:S$152))*SUM(T$151:T$152)</f>
        <v>-0.69839484268189833</v>
      </c>
      <c r="U153" s="6">
        <f ca="1">IF(U$6=OFFSET(Assumptions!$B$8,0,$C$1),AVERAGE(R$153/SUM(R$151:R$152),S$153/SUM(S$151:S$152),T$153/SUM(T$151:T$152)),T$153/SUM(T$151:T$152))*SUM(U$151:U$152)</f>
        <v>-0.72964913703704337</v>
      </c>
    </row>
    <row r="154" spans="1:21" ht="15" x14ac:dyDescent="0.25">
      <c r="A154" s="2" t="s">
        <v>1272</v>
      </c>
      <c r="D154" s="34">
        <f t="shared" ref="D154:U154" ca="1" si="101">SUM(D$150:D$153)</f>
        <v>2.802</v>
      </c>
      <c r="E154" s="34">
        <f t="shared" ca="1" si="101"/>
        <v>2.7879999999999998</v>
      </c>
      <c r="F154" s="34">
        <f t="shared" ca="1" si="101"/>
        <v>2.7270000000000003</v>
      </c>
      <c r="G154" s="33">
        <f t="shared" ca="1" si="101"/>
        <v>2.7399999999999993</v>
      </c>
      <c r="H154" s="33">
        <f t="shared" ca="1" si="101"/>
        <v>2.9660000000000002</v>
      </c>
      <c r="I154" s="33">
        <f t="shared" ca="1" si="101"/>
        <v>3.01</v>
      </c>
      <c r="J154" s="33">
        <f t="shared" ca="1" si="101"/>
        <v>3.2</v>
      </c>
      <c r="K154" s="33">
        <f t="shared" ca="1" si="101"/>
        <v>3.1520000000000006</v>
      </c>
      <c r="L154" s="37">
        <f t="shared" ca="1" si="101"/>
        <v>3.0438583554802365</v>
      </c>
      <c r="M154" s="37">
        <f t="shared" ca="1" si="101"/>
        <v>3.2658953170437157</v>
      </c>
      <c r="N154" s="37">
        <f t="shared" ca="1" si="101"/>
        <v>3.4901256085061716</v>
      </c>
      <c r="O154" s="37">
        <f t="shared" ca="1" si="101"/>
        <v>3.7185165899322481</v>
      </c>
      <c r="P154" s="37">
        <f t="shared" ca="1" si="101"/>
        <v>3.946469129058062</v>
      </c>
      <c r="Q154" s="37">
        <f t="shared" ca="1" si="101"/>
        <v>4.1791810333155635</v>
      </c>
      <c r="R154" s="37">
        <f t="shared" ca="1" si="101"/>
        <v>4.3962243500272047</v>
      </c>
      <c r="S154" s="37">
        <f t="shared" ca="1" si="101"/>
        <v>4.594537078633258</v>
      </c>
      <c r="T154" s="37">
        <f t="shared" ca="1" si="101"/>
        <v>4.8021518142647537</v>
      </c>
      <c r="U154" s="37">
        <f t="shared" ca="1" si="101"/>
        <v>5.0170175859629991</v>
      </c>
    </row>
    <row r="155" spans="1:21" ht="15" x14ac:dyDescent="0.25">
      <c r="A155" s="2"/>
      <c r="D155" s="46"/>
      <c r="E155" s="46"/>
      <c r="F155" s="46"/>
      <c r="G155" s="47"/>
      <c r="H155" s="47"/>
      <c r="I155" s="47"/>
      <c r="J155" s="47"/>
      <c r="K155" s="47"/>
      <c r="L155" s="48"/>
      <c r="M155" s="48"/>
      <c r="N155" s="48"/>
      <c r="O155" s="48"/>
      <c r="P155" s="48"/>
      <c r="Q155" s="48"/>
      <c r="R155" s="48"/>
      <c r="S155" s="48"/>
      <c r="T155" s="48"/>
      <c r="U155" s="48"/>
    </row>
    <row r="156" spans="1:21" ht="15" x14ac:dyDescent="0.25">
      <c r="A156" s="18" t="s">
        <v>1268</v>
      </c>
      <c r="D156" s="46"/>
      <c r="E156" s="46"/>
      <c r="F156" s="46"/>
      <c r="G156" s="47"/>
      <c r="H156" s="47"/>
      <c r="I156" s="47"/>
      <c r="J156" s="47"/>
      <c r="K156" s="47"/>
      <c r="L156" s="48"/>
      <c r="M156" s="48"/>
      <c r="N156" s="48"/>
      <c r="O156" s="48"/>
      <c r="P156" s="48"/>
      <c r="Q156" s="48"/>
      <c r="R156" s="48"/>
      <c r="S156" s="48"/>
      <c r="T156" s="48"/>
      <c r="U156" s="48"/>
    </row>
    <row r="157" spans="1:21" x14ac:dyDescent="0.2">
      <c r="A157" s="1" t="s">
        <v>1273</v>
      </c>
      <c r="D157" s="14">
        <f ca="1">OFFSET(Assumptions!$B$79,0,$C$1)*D$366</f>
        <v>0.41040000000000004</v>
      </c>
      <c r="E157" s="14">
        <f ca="1">OFFSET(Assumptions!$B$79,0,$C$1)*E$366</f>
        <v>0.40608000000000005</v>
      </c>
      <c r="F157" s="14">
        <f ca="1">OFFSET(Assumptions!$B$79,0,$C$1)*F$366</f>
        <v>0.44982</v>
      </c>
      <c r="G157" s="15">
        <f ca="1">OFFSET(Assumptions!$B$79,0,$C$1)*G$366</f>
        <v>0.43416000000000005</v>
      </c>
      <c r="H157" s="15">
        <f ca="1">OFFSET(Assumptions!$B$79,0,$C$1)*H$366</f>
        <v>0.5059800000000001</v>
      </c>
      <c r="I157" s="15">
        <f ca="1">OFFSET(Assumptions!$B$79,0,$C$1)*I$366</f>
        <v>0.55025999999999997</v>
      </c>
      <c r="J157" s="15">
        <f ca="1">OFFSET(Assumptions!$B$79,0,$C$1)*J$366</f>
        <v>0.60318000000000005</v>
      </c>
      <c r="K157" s="15">
        <f ca="1">OFFSET(Assumptions!$B$79,0,$C$1)*K$366</f>
        <v>0.66744000000000003</v>
      </c>
      <c r="L157" s="6">
        <f ca="1">OFFSET(Assumptions!$B$79,0,$C$1)*L$366</f>
        <v>0.62231931146244579</v>
      </c>
      <c r="M157" s="6">
        <f ca="1">OFFSET(Assumptions!$B$79,0,$C$1)*M$366</f>
        <v>0.70229426378205118</v>
      </c>
      <c r="N157" s="6">
        <f ca="1">OFFSET(Assumptions!$B$79,0,$C$1)*N$366</f>
        <v>0.78869248390161695</v>
      </c>
      <c r="O157" s="6">
        <f ca="1">OFFSET(Assumptions!$B$79,0,$C$1)*O$366</f>
        <v>0.88144170557109602</v>
      </c>
      <c r="P157" s="6">
        <f ca="1">OFFSET(Assumptions!$B$79,0,$C$1)*P$366</f>
        <v>0.98058323711229178</v>
      </c>
      <c r="Q157" s="6">
        <f ca="1">OFFSET(Assumptions!$B$79,0,$C$1)*Q$366</f>
        <v>1.0602650125141178</v>
      </c>
      <c r="R157" s="6">
        <f ca="1">OFFSET(Assumptions!$B$79,0,$C$1)*R$366</f>
        <v>1.140174590032351</v>
      </c>
      <c r="S157" s="6">
        <f ca="1">OFFSET(Assumptions!$B$79,0,$C$1)*S$366</f>
        <v>1.2218595249698552</v>
      </c>
      <c r="T157" s="6">
        <f ca="1">OFFSET(Assumptions!$B$79,0,$C$1)*T$366</f>
        <v>1.3057097272604847</v>
      </c>
      <c r="U157" s="6">
        <f ca="1">OFFSET(Assumptions!$B$79,0,$C$1)*U$366</f>
        <v>1.3918455873070628</v>
      </c>
    </row>
    <row r="158" spans="1:21" x14ac:dyDescent="0.2">
      <c r="A158" s="1" t="s">
        <v>1274</v>
      </c>
      <c r="B158" s="4" t="str">
        <f>$B$37</f>
        <v>From Fiscal</v>
      </c>
      <c r="D158" s="14">
        <f ca="1">'Fiscal Forecasts'!D$222-D$157</f>
        <v>0.89959999999999996</v>
      </c>
      <c r="E158" s="14">
        <f ca="1">'Fiscal Forecasts'!E$222-E$157</f>
        <v>0.88192000000000004</v>
      </c>
      <c r="F158" s="14">
        <f ca="1">'Fiscal Forecasts'!F$222-F$157</f>
        <v>1.0691799999999998</v>
      </c>
      <c r="G158" s="15">
        <f ca="1">'Fiscal Forecasts'!G$222-G$157</f>
        <v>0.86683999999999983</v>
      </c>
      <c r="H158" s="15">
        <f ca="1">'Fiscal Forecasts'!H$222-H$157</f>
        <v>0.84501999999999988</v>
      </c>
      <c r="I158" s="15">
        <f ca="1">'Fiscal Forecasts'!I$222-I$157</f>
        <v>0.91974</v>
      </c>
      <c r="J158" s="15">
        <f ca="1">'Fiscal Forecasts'!J$222-J$157</f>
        <v>0.95581999999999989</v>
      </c>
      <c r="K158" s="15">
        <f ca="1">'Fiscal Forecasts'!K$222-K$157</f>
        <v>0.97755999999999998</v>
      </c>
      <c r="L158" s="6">
        <f ca="1">AVERAGE(SUM(K$336,K$349,K$358,K$382),SUM(L$336,L$349,L$358,L$382))*L$225-L$149</f>
        <v>0.9946544743718766</v>
      </c>
      <c r="M158" s="6">
        <f t="shared" ref="M158:U158" ca="1" si="102">AVERAGE(SUM(L$336,L$349,L$358,L$382),SUM(M$336,M$349,M$358,M$382))*M$225-M$149</f>
        <v>1.0812945496691579</v>
      </c>
      <c r="N158" s="6">
        <f t="shared" ca="1" si="102"/>
        <v>1.1761446640079936</v>
      </c>
      <c r="O158" s="6">
        <f t="shared" ca="1" si="102"/>
        <v>1.281615165071758</v>
      </c>
      <c r="P158" s="6">
        <f t="shared" ca="1" si="102"/>
        <v>1.4005926847340309</v>
      </c>
      <c r="Q158" s="6">
        <f t="shared" ca="1" si="102"/>
        <v>1.5362823030046882</v>
      </c>
      <c r="R158" s="6">
        <f t="shared" ca="1" si="102"/>
        <v>1.6857547431538094</v>
      </c>
      <c r="S158" s="6">
        <f t="shared" ca="1" si="102"/>
        <v>1.7570862339397399</v>
      </c>
      <c r="T158" s="6">
        <f t="shared" ca="1" si="102"/>
        <v>1.8308065397277908</v>
      </c>
      <c r="U158" s="6">
        <f t="shared" ca="1" si="102"/>
        <v>1.9070619078616902</v>
      </c>
    </row>
    <row r="159" spans="1:21" ht="15" x14ac:dyDescent="0.25">
      <c r="A159" s="2" t="s">
        <v>1275</v>
      </c>
      <c r="D159" s="34">
        <f ca="1">SUM(D$157:D$158)</f>
        <v>1.31</v>
      </c>
      <c r="E159" s="34">
        <f t="shared" ref="E159:U159" ca="1" si="103">SUM(E$157:E$158)</f>
        <v>1.288</v>
      </c>
      <c r="F159" s="34">
        <f t="shared" ca="1" si="103"/>
        <v>1.5189999999999997</v>
      </c>
      <c r="G159" s="33">
        <f t="shared" ca="1" si="103"/>
        <v>1.3009999999999999</v>
      </c>
      <c r="H159" s="33">
        <f t="shared" ca="1" si="103"/>
        <v>1.351</v>
      </c>
      <c r="I159" s="33">
        <f t="shared" ca="1" si="103"/>
        <v>1.47</v>
      </c>
      <c r="J159" s="33">
        <f t="shared" ca="1" si="103"/>
        <v>1.5589999999999999</v>
      </c>
      <c r="K159" s="33">
        <f t="shared" ca="1" si="103"/>
        <v>1.645</v>
      </c>
      <c r="L159" s="37">
        <f t="shared" ca="1" si="103"/>
        <v>1.6169737858343223</v>
      </c>
      <c r="M159" s="37">
        <f t="shared" ca="1" si="103"/>
        <v>1.783588813451209</v>
      </c>
      <c r="N159" s="37">
        <f t="shared" ca="1" si="103"/>
        <v>1.9648371479096105</v>
      </c>
      <c r="O159" s="37">
        <f t="shared" ca="1" si="103"/>
        <v>2.1630568706428539</v>
      </c>
      <c r="P159" s="37">
        <f t="shared" ca="1" si="103"/>
        <v>2.3811759218463227</v>
      </c>
      <c r="Q159" s="37">
        <f t="shared" ca="1" si="103"/>
        <v>2.5965473155188059</v>
      </c>
      <c r="R159" s="37">
        <f t="shared" ca="1" si="103"/>
        <v>2.8259293331861604</v>
      </c>
      <c r="S159" s="37">
        <f t="shared" ca="1" si="103"/>
        <v>2.9789457589095951</v>
      </c>
      <c r="T159" s="37">
        <f t="shared" ca="1" si="103"/>
        <v>3.1365162669882753</v>
      </c>
      <c r="U159" s="37">
        <f t="shared" ca="1" si="103"/>
        <v>3.2989074951687529</v>
      </c>
    </row>
    <row r="160" spans="1:21" x14ac:dyDescent="0.2">
      <c r="A160" s="1" t="s">
        <v>272</v>
      </c>
      <c r="B160" s="4" t="str">
        <f>$B$37</f>
        <v>From Fiscal</v>
      </c>
      <c r="D160" s="14">
        <f>'Fiscal Forecasts'!D$223</f>
        <v>0.32</v>
      </c>
      <c r="E160" s="14">
        <f>'Fiscal Forecasts'!E$223</f>
        <v>0.39300000000000002</v>
      </c>
      <c r="F160" s="14">
        <f>'Fiscal Forecasts'!F$223</f>
        <v>0.42</v>
      </c>
      <c r="G160" s="15">
        <f>'Fiscal Forecasts'!G$223</f>
        <v>0.35599999999999998</v>
      </c>
      <c r="H160" s="15">
        <f>'Fiscal Forecasts'!H$223</f>
        <v>0.40100000000000002</v>
      </c>
      <c r="I160" s="15">
        <f>'Fiscal Forecasts'!I$223</f>
        <v>0.40799999999999997</v>
      </c>
      <c r="J160" s="15">
        <f>'Fiscal Forecasts'!J$223</f>
        <v>0.40400000000000003</v>
      </c>
      <c r="K160" s="15">
        <f>'Fiscal Forecasts'!K$223</f>
        <v>0.39900000000000002</v>
      </c>
      <c r="L160" s="6">
        <f>K$160*Exogenous!S$27/Exogenous!R$27</f>
        <v>0.42830308392514466</v>
      </c>
      <c r="M160" s="6">
        <f>L$160*Exogenous!T$27/Exogenous!S$27</f>
        <v>0.45988231098875554</v>
      </c>
      <c r="N160" s="6">
        <f>M$160*Exogenous!U$27/Exogenous!T$27</f>
        <v>0.49358544301138235</v>
      </c>
      <c r="O160" s="6">
        <f>N$160*Exogenous!V$27/Exogenous!U$27</f>
        <v>0.52684709791131945</v>
      </c>
      <c r="P160" s="6">
        <f>O$160*Exogenous!W$27/Exogenous!V$27</f>
        <v>0.55856137398772721</v>
      </c>
      <c r="Q160" s="6">
        <f>P$160*Exogenous!X$27/Exogenous!W$27</f>
        <v>0.59840274066203702</v>
      </c>
      <c r="R160" s="6">
        <f>Q$160*Exogenous!Y$27/Exogenous!X$27</f>
        <v>0.62909844383882951</v>
      </c>
      <c r="S160" s="6">
        <f>R$160*Exogenous!Z$27/Exogenous!Y$27</f>
        <v>0.65845831753112982</v>
      </c>
      <c r="T160" s="6">
        <f>S$160*Exogenous!AA$27/Exogenous!Z$27</f>
        <v>0.68941924858233794</v>
      </c>
      <c r="U160" s="6">
        <f>T$160*Exogenous!AB$27/Exogenous!AA$27</f>
        <v>0.72228706654277552</v>
      </c>
    </row>
    <row r="161" spans="1:21" x14ac:dyDescent="0.2">
      <c r="A161" s="1" t="s">
        <v>1276</v>
      </c>
      <c r="B161" s="4" t="str">
        <f>$B$37</f>
        <v>From Fiscal</v>
      </c>
      <c r="D161" s="14">
        <f>'Fiscal Forecasts'!D$224</f>
        <v>-0.90800000000000003</v>
      </c>
      <c r="E161" s="14">
        <f>'Fiscal Forecasts'!E$224</f>
        <v>-0.86599999999999999</v>
      </c>
      <c r="F161" s="14">
        <f>'Fiscal Forecasts'!F$224</f>
        <v>-1.0680000000000001</v>
      </c>
      <c r="G161" s="15">
        <f>'Fiscal Forecasts'!G$224</f>
        <v>-0.82399999999999995</v>
      </c>
      <c r="H161" s="15">
        <f>'Fiscal Forecasts'!H$224</f>
        <v>-0.80100000000000005</v>
      </c>
      <c r="I161" s="15">
        <f>'Fiscal Forecasts'!I$224</f>
        <v>-0.85799999999999998</v>
      </c>
      <c r="J161" s="15">
        <f>'Fiscal Forecasts'!J$224</f>
        <v>-0.873</v>
      </c>
      <c r="K161" s="15">
        <f>'Fiscal Forecasts'!K$224</f>
        <v>-0.86699999999999999</v>
      </c>
      <c r="L161" s="6">
        <f ca="1">IF(L$6=OFFSET(Assumptions!$B$8,0,$C$1),AVERAGE(I$161/I$160,J$161/J$160,K$161/K$160),K$161/K$160)*L$160</f>
        <v>-0.91896204238037371</v>
      </c>
      <c r="M161" s="6">
        <f ca="1">IF(M$6=OFFSET(Assumptions!$B$8,0,$C$1),AVERAGE(J$161/J$160,K$161/K$160,L$161/L$160),L$161/L$160)*M$160</f>
        <v>-0.98671805929535195</v>
      </c>
      <c r="N161" s="6">
        <f ca="1">IF(N$6=OFFSET(Assumptions!$B$8,0,$C$1),AVERAGE(K$161/K$160,L$161/L$160,M$161/M$160),M$161/M$160)*N$160</f>
        <v>-1.0590311016257721</v>
      </c>
      <c r="O161" s="6">
        <f ca="1">IF(O$6=OFFSET(Assumptions!$B$8,0,$C$1),AVERAGE(L$161/L$160,M$161/M$160,N$161/N$160),N$161/N$160)*O$160</f>
        <v>-1.1303969158517082</v>
      </c>
      <c r="P161" s="6">
        <f ca="1">IF(P$6=OFFSET(Assumptions!$B$8,0,$C$1),AVERAGE(M$161/M$160,N$161/N$160,O$161/O$160),O$161/O$160)*P$160</f>
        <v>-1.1984426923348033</v>
      </c>
      <c r="Q161" s="6">
        <f ca="1">IF(Q$6=OFFSET(Assumptions!$B$8,0,$C$1),AVERAGE(N$161/N$160,O$161/O$160,P$161/P$160),P$161/P$160)*Q$160</f>
        <v>-1.2839258584953532</v>
      </c>
      <c r="R161" s="6">
        <f ca="1">IF(R$6=OFFSET(Assumptions!$B$8,0,$C$1),AVERAGE(O$161/O$160,P$161/P$160,Q$161/Q$160),Q$161/Q$160)*R$160</f>
        <v>-1.3497861969854139</v>
      </c>
      <c r="S161" s="6">
        <f ca="1">IF(S$6=OFFSET(Assumptions!$B$8,0,$C$1),AVERAGE(P$161/P$160,Q$161/Q$160,R$161/R$160),R$161/R$160)*S$160</f>
        <v>-1.4127803954979363</v>
      </c>
      <c r="T161" s="6">
        <f ca="1">IF(T$6=OFFSET(Assumptions!$B$8,0,$C$1),AVERAGE(Q$161/Q$160,R$161/R$160,S$161/S$160),S$161/S$160)*T$160</f>
        <v>-1.4792098037853367</v>
      </c>
      <c r="U161" s="6">
        <f ca="1">IF(U$6=OFFSET(Assumptions!$B$8,0,$C$1),AVERAGE(R$161/R$160,S$161/S$160,T$161/T$160),T$161/T$160)*U$160</f>
        <v>-1.5497306061216303</v>
      </c>
    </row>
    <row r="162" spans="1:21" ht="15" x14ac:dyDescent="0.25">
      <c r="A162" s="2" t="s">
        <v>1277</v>
      </c>
      <c r="D162" s="34">
        <f ca="1">SUM(D$159:D$161)</f>
        <v>0.72200000000000009</v>
      </c>
      <c r="E162" s="34">
        <f t="shared" ref="E162:U162" ca="1" si="104">SUM(E$159:E$161)</f>
        <v>0.81500000000000006</v>
      </c>
      <c r="F162" s="34">
        <f t="shared" ca="1" si="104"/>
        <v>0.87099999999999955</v>
      </c>
      <c r="G162" s="33">
        <f t="shared" ca="1" si="104"/>
        <v>0.83300000000000007</v>
      </c>
      <c r="H162" s="33">
        <f t="shared" ca="1" si="104"/>
        <v>0.95099999999999996</v>
      </c>
      <c r="I162" s="33">
        <f t="shared" ca="1" si="104"/>
        <v>1.02</v>
      </c>
      <c r="J162" s="33">
        <f t="shared" ca="1" si="104"/>
        <v>1.0900000000000001</v>
      </c>
      <c r="K162" s="33">
        <f t="shared" ca="1" si="104"/>
        <v>1.177</v>
      </c>
      <c r="L162" s="37">
        <f t="shared" ca="1" si="104"/>
        <v>1.1263148273790933</v>
      </c>
      <c r="M162" s="37">
        <f t="shared" ca="1" si="104"/>
        <v>1.2567530651446126</v>
      </c>
      <c r="N162" s="37">
        <f t="shared" ca="1" si="104"/>
        <v>1.3993914892952206</v>
      </c>
      <c r="O162" s="37">
        <f t="shared" ca="1" si="104"/>
        <v>1.5595070527024653</v>
      </c>
      <c r="P162" s="37">
        <f t="shared" ca="1" si="104"/>
        <v>1.7412946034992465</v>
      </c>
      <c r="Q162" s="37">
        <f t="shared" ca="1" si="104"/>
        <v>1.9110241976854898</v>
      </c>
      <c r="R162" s="37">
        <f t="shared" ca="1" si="104"/>
        <v>2.1052415800395758</v>
      </c>
      <c r="S162" s="37">
        <f t="shared" ca="1" si="104"/>
        <v>2.2246236809427886</v>
      </c>
      <c r="T162" s="37">
        <f t="shared" ca="1" si="104"/>
        <v>2.3467257117852762</v>
      </c>
      <c r="U162" s="37">
        <f t="shared" ca="1" si="104"/>
        <v>2.4714639555898978</v>
      </c>
    </row>
    <row r="163" spans="1:21" ht="15" x14ac:dyDescent="0.25">
      <c r="A163" s="2"/>
      <c r="D163" s="46"/>
      <c r="E163" s="46"/>
      <c r="F163" s="46"/>
      <c r="G163" s="47"/>
      <c r="H163" s="47"/>
      <c r="I163" s="47"/>
      <c r="J163" s="47"/>
      <c r="K163" s="47"/>
      <c r="L163" s="48"/>
      <c r="M163" s="48"/>
      <c r="N163" s="48"/>
      <c r="O163" s="48"/>
      <c r="P163" s="48"/>
      <c r="Q163" s="48"/>
      <c r="R163" s="48"/>
      <c r="S163" s="48"/>
      <c r="T163" s="48"/>
      <c r="U163" s="48"/>
    </row>
    <row r="164" spans="1:21" x14ac:dyDescent="0.2">
      <c r="A164" s="18" t="s">
        <v>144</v>
      </c>
      <c r="G164" s="25"/>
      <c r="H164" s="25"/>
      <c r="I164" s="25"/>
      <c r="J164" s="25"/>
      <c r="K164" s="25"/>
    </row>
    <row r="165" spans="1:21" x14ac:dyDescent="0.2">
      <c r="A165" s="1" t="s">
        <v>1278</v>
      </c>
      <c r="D165" s="14">
        <f ca="1">D$366-SUM(D$148,D$157)</f>
        <v>7.5999999999999956E-2</v>
      </c>
      <c r="E165" s="14">
        <f t="shared" ref="E165:U165" ca="1" si="105">E$366-SUM(E$148,E$157)</f>
        <v>7.5199999999999934E-2</v>
      </c>
      <c r="F165" s="14">
        <f t="shared" ca="1" si="105"/>
        <v>8.329999999999993E-2</v>
      </c>
      <c r="G165" s="15">
        <f t="shared" ca="1" si="105"/>
        <v>8.0400000000000027E-2</v>
      </c>
      <c r="H165" s="15">
        <f t="shared" ca="1" si="105"/>
        <v>9.3699999999999894E-2</v>
      </c>
      <c r="I165" s="15">
        <f t="shared" ca="1" si="105"/>
        <v>0.10189999999999999</v>
      </c>
      <c r="J165" s="15">
        <f t="shared" ca="1" si="105"/>
        <v>0.11169999999999991</v>
      </c>
      <c r="K165" s="15">
        <f t="shared" ca="1" si="105"/>
        <v>0.12359999999999993</v>
      </c>
      <c r="L165" s="6">
        <f t="shared" ca="1" si="105"/>
        <v>0.11524431693748993</v>
      </c>
      <c r="M165" s="6">
        <f t="shared" ca="1" si="105"/>
        <v>0.13005449329297236</v>
      </c>
      <c r="N165" s="6">
        <f t="shared" ca="1" si="105"/>
        <v>0.14605416368548441</v>
      </c>
      <c r="O165" s="6">
        <f t="shared" ca="1" si="105"/>
        <v>0.16322994547612879</v>
      </c>
      <c r="P165" s="6">
        <f t="shared" ca="1" si="105"/>
        <v>0.18158948835412803</v>
      </c>
      <c r="Q165" s="6">
        <f t="shared" ca="1" si="105"/>
        <v>0.1963453726877995</v>
      </c>
      <c r="R165" s="6">
        <f t="shared" ca="1" si="105"/>
        <v>0.21114344259858342</v>
      </c>
      <c r="S165" s="6">
        <f t="shared" ca="1" si="105"/>
        <v>0.22627028240182501</v>
      </c>
      <c r="T165" s="6">
        <f t="shared" ca="1" si="105"/>
        <v>0.24179809764083027</v>
      </c>
      <c r="U165" s="6">
        <f t="shared" ca="1" si="105"/>
        <v>0.25774918283464121</v>
      </c>
    </row>
    <row r="166" spans="1:21" x14ac:dyDescent="0.2">
      <c r="A166" s="1" t="s">
        <v>1279</v>
      </c>
      <c r="B166" s="4" t="str">
        <f>$B$37</f>
        <v>From Fiscal</v>
      </c>
      <c r="D166" s="14">
        <f ca="1">'Fiscal Forecasts'!D$153-SUM(D$159,D$165)</f>
        <v>0.6639999999999997</v>
      </c>
      <c r="E166" s="14">
        <f ca="1">'Fiscal Forecasts'!E$153-SUM(E$159,E$165)</f>
        <v>0.64380000000000015</v>
      </c>
      <c r="F166" s="14">
        <f ca="1">'Fiscal Forecasts'!F$153-SUM(F$159,F$165)</f>
        <v>0.35170000000000035</v>
      </c>
      <c r="G166" s="15">
        <f ca="1">'Fiscal Forecasts'!G$153-SUM(G$159,G$165)</f>
        <v>0.62759999999999994</v>
      </c>
      <c r="H166" s="15">
        <f ca="1">'Fiscal Forecasts'!H$153-SUM(H$159,H$165)</f>
        <v>0.58529999999999993</v>
      </c>
      <c r="I166" s="15">
        <f ca="1">'Fiscal Forecasts'!I$153-SUM(I$159,I$165)</f>
        <v>0.7471000000000001</v>
      </c>
      <c r="J166" s="15">
        <f ca="1">'Fiscal Forecasts'!J$153-SUM(J$159,J$165)</f>
        <v>0.53330000000000033</v>
      </c>
      <c r="K166" s="15">
        <f ca="1">'Fiscal Forecasts'!K$153-SUM(K$159,K$165)</f>
        <v>0.52140000000000009</v>
      </c>
      <c r="L166" s="6">
        <f ca="1">IF(L$6=OFFSET(Assumptions!$B$8,0,$C$1),AVERAGE(I$166/I$13,J$166/J$13,K$166/K$13),K$166/K$13)*L$13</f>
        <v>0.6614440990618029</v>
      </c>
      <c r="M166" s="6">
        <f ca="1">IF(M$6=OFFSET(Assumptions!$B$8,0,$C$1),AVERAGE(J$166/J$13,K$166/K$13,L$166/L$13),L$166/L$13)*M$13</f>
        <v>0.69160326027491559</v>
      </c>
      <c r="N166" s="6">
        <f ca="1">IF(N$6=OFFSET(Assumptions!$B$8,0,$C$1),AVERAGE(K$166/K$13,L$166/L$13,M$166/M$13),M$166/M$13)*N$13</f>
        <v>0.72241993228104984</v>
      </c>
      <c r="O166" s="6">
        <f ca="1">IF(O$6=OFFSET(Assumptions!$B$8,0,$C$1),AVERAGE(L$166/L$13,M$166/M$13,N$166/N$13),N$166/N$13)*O$13</f>
        <v>0.75402569381106821</v>
      </c>
      <c r="P166" s="6">
        <f ca="1">IF(P$6=OFFSET(Assumptions!$B$8,0,$C$1),AVERAGE(M$166/M$13,N$166/N$13,O$166/O$13),O$166/O$13)*P$13</f>
        <v>0.78670472423210125</v>
      </c>
      <c r="Q166" s="6">
        <f ca="1">IF(Q$6=OFFSET(Assumptions!$B$8,0,$C$1),AVERAGE(N$166/N$13,O$166/O$13,P$166/P$13),P$166/P$13)*Q$13</f>
        <v>0.82050908224478725</v>
      </c>
      <c r="R166" s="6">
        <f ca="1">IF(R$6=OFFSET(Assumptions!$B$8,0,$C$1),AVERAGE(O$166/O$13,P$166/P$13,Q$166/Q$13),Q$166/Q$13)*R$13</f>
        <v>0.85538060180555708</v>
      </c>
      <c r="S166" s="6">
        <f ca="1">IF(S$6=OFFSET(Assumptions!$B$8,0,$C$1),AVERAGE(P$166/P$13,Q$166/Q$13,R$166/R$13),R$166/R$13)*S$13</f>
        <v>0.89142314020106139</v>
      </c>
      <c r="T166" s="6">
        <f ca="1">IF(T$6=OFFSET(Assumptions!$B$8,0,$C$1),AVERAGE(Q$166/Q$13,R$166/R$13,S$166/S$13),S$166/S$13)*T$13</f>
        <v>0.92866949538689203</v>
      </c>
      <c r="U166" s="6">
        <f ca="1">IF(U$6=OFFSET(Assumptions!$B$8,0,$C$1),AVERAGE(R$166/R$13,S$166/S$13,T$166/T$13),T$166/T$13)*U$13</f>
        <v>0.96723226090979308</v>
      </c>
    </row>
    <row r="167" spans="1:21" ht="15" x14ac:dyDescent="0.25">
      <c r="A167" s="2" t="s">
        <v>424</v>
      </c>
      <c r="B167" s="4"/>
      <c r="D167" s="34">
        <f ca="1">SUM(D$165:D$166)</f>
        <v>0.73999999999999966</v>
      </c>
      <c r="E167" s="34">
        <f t="shared" ref="E167:U167" ca="1" si="106">SUM(E$165:E$166)</f>
        <v>0.71900000000000008</v>
      </c>
      <c r="F167" s="34">
        <f t="shared" ca="1" si="106"/>
        <v>0.43500000000000028</v>
      </c>
      <c r="G167" s="33">
        <f t="shared" ca="1" si="106"/>
        <v>0.70799999999999996</v>
      </c>
      <c r="H167" s="33">
        <f t="shared" ca="1" si="106"/>
        <v>0.67899999999999983</v>
      </c>
      <c r="I167" s="33">
        <f t="shared" ca="1" si="106"/>
        <v>0.84900000000000009</v>
      </c>
      <c r="J167" s="33">
        <f t="shared" ca="1" si="106"/>
        <v>0.64500000000000024</v>
      </c>
      <c r="K167" s="33">
        <f t="shared" ca="1" si="106"/>
        <v>0.64500000000000002</v>
      </c>
      <c r="L167" s="37">
        <f t="shared" ca="1" si="106"/>
        <v>0.77668841599929284</v>
      </c>
      <c r="M167" s="37">
        <f t="shared" ca="1" si="106"/>
        <v>0.82165775356788795</v>
      </c>
      <c r="N167" s="37">
        <f t="shared" ca="1" si="106"/>
        <v>0.86847409596653424</v>
      </c>
      <c r="O167" s="37">
        <f t="shared" ca="1" si="106"/>
        <v>0.917255639287197</v>
      </c>
      <c r="P167" s="37">
        <f t="shared" ca="1" si="106"/>
        <v>0.96829421258622927</v>
      </c>
      <c r="Q167" s="37">
        <f t="shared" ca="1" si="106"/>
        <v>1.0168544549325866</v>
      </c>
      <c r="R167" s="37">
        <f t="shared" ca="1" si="106"/>
        <v>1.0665240444041406</v>
      </c>
      <c r="S167" s="37">
        <f t="shared" ca="1" si="106"/>
        <v>1.1176934226028865</v>
      </c>
      <c r="T167" s="37">
        <f t="shared" ca="1" si="106"/>
        <v>1.1704675930277224</v>
      </c>
      <c r="U167" s="37">
        <f t="shared" ca="1" si="106"/>
        <v>1.2249814437444342</v>
      </c>
    </row>
    <row r="168" spans="1:21" ht="15" x14ac:dyDescent="0.25">
      <c r="A168" s="2" t="s">
        <v>425</v>
      </c>
      <c r="B168" s="4" t="str">
        <f>$B$37</f>
        <v>From Fiscal</v>
      </c>
      <c r="D168" s="39">
        <f ca="1">'Fiscal Forecasts'!D$13-D$162</f>
        <v>3.6149999999999998</v>
      </c>
      <c r="E168" s="39">
        <f ca="1">'Fiscal Forecasts'!E$13-E$162</f>
        <v>3.8809999999999998</v>
      </c>
      <c r="F168" s="39">
        <f ca="1">'Fiscal Forecasts'!F$13-F$162</f>
        <v>3.7040000000000006</v>
      </c>
      <c r="G168" s="38">
        <f ca="1">'Fiscal Forecasts'!G$13-G$162</f>
        <v>3.9729999999999999</v>
      </c>
      <c r="H168" s="38">
        <f ca="1">'Fiscal Forecasts'!H$13-H$162</f>
        <v>4.1370000000000005</v>
      </c>
      <c r="I168" s="38">
        <f ca="1">'Fiscal Forecasts'!I$13-I$162</f>
        <v>4.4819999999999993</v>
      </c>
      <c r="J168" s="38">
        <f ca="1">'Fiscal Forecasts'!J$13-J$162</f>
        <v>4.5990000000000002</v>
      </c>
      <c r="K168" s="38">
        <f ca="1">'Fiscal Forecasts'!K$13-K$162</f>
        <v>4.6270000000000007</v>
      </c>
      <c r="L168" s="7">
        <f ca="1">SUM(L$167,IF(L$6=OFFSET(Assumptions!$B$8,0,$C$1),AVERAGE((I$168-I$167)/I$13,(J$168-J$167)/J$13,(K$168-K$167)/K$13),(K$168-K$167)/K$13)*L$13)</f>
        <v>4.9941573559167676</v>
      </c>
      <c r="M168" s="7">
        <f ca="1">SUM(M$167,IF(M$6=OFFSET(Assumptions!$B$8,0,$C$1),AVERAGE((J$168-J$167)/J$13,(K$168-K$167)/K$13,(L$168-L$167)/L$13),(L$168-L$167)/L$13)*M$13)</f>
        <v>5.2314261271800344</v>
      </c>
      <c r="N168" s="7">
        <f ca="1">SUM(N$167,IF(N$6=OFFSET(Assumptions!$B$8,0,$C$1),AVERAGE((K$168-K$167)/K$13,(L$168-L$167)/L$13,(M$168-M$167)/M$13),(M$168-M$167)/M$13)*N$13)</f>
        <v>5.4747342928511893</v>
      </c>
      <c r="O168" s="7">
        <f ca="1">SUM(O$167,IF(O$6=OFFSET(Assumptions!$B$8,0,$C$1),AVERAGE((L$168-L$167)/L$13,(M$168-M$167)/M$13,(N$168-N$167)/N$13),(N$168-N$167)/N$13)*O$13)</f>
        <v>5.7250390151742199</v>
      </c>
      <c r="P168" s="7">
        <f ca="1">SUM(P$167,IF(P$6=OFFSET(Assumptions!$B$8,0,$C$1),AVERAGE((M$168-M$167)/M$13,(N$168-N$167)/N$13,(O$168-O$167)/O$13),(O$168-O$167)/O$13)*P$13)</f>
        <v>5.984444094399926</v>
      </c>
      <c r="Q168" s="7">
        <f ca="1">SUM(Q$167,IF(Q$6=OFFSET(Assumptions!$B$8,0,$C$1),AVERAGE((N$168-N$167)/N$13,(O$168-O$167)/O$13,(P$168-P$167)/P$13),(P$168-P$167)/P$13)*Q$13)</f>
        <v>6.2485461038503729</v>
      </c>
      <c r="R168" s="7">
        <f ca="1">SUM(R$167,IF(R$6=OFFSET(Assumptions!$B$8,0,$C$1),AVERAGE((O$168-O$167)/O$13,(P$168-P$167)/P$13,(Q$168-Q$167)/Q$13),(Q$168-Q$167)/Q$13)*R$13)</f>
        <v>6.5205618459958661</v>
      </c>
      <c r="S168" s="7">
        <f ca="1">SUM(S$167,IF(S$6=OFFSET(Assumptions!$B$8,0,$C$1),AVERAGE((P$168-P$167)/P$13,(Q$168-Q$167)/Q$13,(R$168-R$167)/R$13),(R$168-R$167)/R$13)*S$13)</f>
        <v>6.8015439724138975</v>
      </c>
      <c r="T168" s="7">
        <f ca="1">SUM(T$167,IF(T$6=OFFSET(Assumptions!$B$8,0,$C$1),AVERAGE((Q$168-Q$167)/Q$13,(R$168-R$167)/R$13,(S$168-S$167)/S$13),(S$168-S$167)/S$13)*T$13)</f>
        <v>7.0918066113944063</v>
      </c>
      <c r="U168" s="7">
        <f ca="1">SUM(U$167,IF(U$6=OFFSET(Assumptions!$B$8,0,$C$1),AVERAGE((R$168-R$167)/R$13,(S$168-S$167)/S$13,(T$168-T$167)/T$13),(T$168-T$167)/T$13)*U$13)</f>
        <v>7.3922025647118392</v>
      </c>
    </row>
    <row r="169" spans="1:21" ht="15" x14ac:dyDescent="0.25">
      <c r="A169" s="2"/>
      <c r="B169" s="4"/>
      <c r="G169" s="25"/>
      <c r="H169" s="25"/>
      <c r="I169" s="25"/>
      <c r="J169" s="25"/>
      <c r="K169" s="25"/>
    </row>
    <row r="170" spans="1:21" x14ac:dyDescent="0.2">
      <c r="A170" s="18" t="s">
        <v>146</v>
      </c>
      <c r="D170" s="6"/>
      <c r="E170" s="6"/>
      <c r="F170" s="6"/>
      <c r="G170" s="15"/>
      <c r="H170" s="15"/>
      <c r="I170" s="15"/>
      <c r="J170" s="15"/>
      <c r="K170" s="15"/>
      <c r="L170" s="6"/>
      <c r="M170" s="6"/>
      <c r="N170" s="6"/>
      <c r="O170" s="6"/>
      <c r="P170" s="6"/>
      <c r="Q170" s="6"/>
      <c r="R170" s="6"/>
      <c r="S170" s="6"/>
      <c r="T170" s="6"/>
      <c r="U170" s="6"/>
    </row>
    <row r="171" spans="1:21" x14ac:dyDescent="0.2">
      <c r="A171" s="1" t="s">
        <v>433</v>
      </c>
      <c r="B171" s="4" t="str">
        <f t="shared" ref="B171:B187" si="107">$B$37</f>
        <v>From Fiscal</v>
      </c>
      <c r="D171" s="14">
        <f>'Fiscal Forecasts'!D$227</f>
        <v>11.590999999999999</v>
      </c>
      <c r="E171" s="14">
        <f>'Fiscal Forecasts'!E$227</f>
        <v>12.266999999999999</v>
      </c>
      <c r="F171" s="14">
        <f>'Fiscal Forecasts'!F$227</f>
        <v>13.042999999999999</v>
      </c>
      <c r="G171" s="15">
        <f>'Fiscal Forecasts'!G$227 +IF($C$2="Yes",'Fiscal Forecast Adjuster'!C$15/1000,0)</f>
        <v>13.702999999999999</v>
      </c>
      <c r="H171" s="15">
        <f>'Fiscal Forecasts'!H$227 +IF($C$2="Yes",'Fiscal Forecast Adjuster'!D$15/1000,0)</f>
        <v>14.539</v>
      </c>
      <c r="I171" s="15">
        <f>'Fiscal Forecasts'!I$227 +IF($C$2="Yes",'Fiscal Forecast Adjuster'!E$15/1000,0)</f>
        <v>15.439</v>
      </c>
      <c r="J171" s="15">
        <f>'Fiscal Forecasts'!J$227 +IF($C$2="Yes",'Fiscal Forecast Adjuster'!F$15/1000,0)</f>
        <v>16.332999999999998</v>
      </c>
      <c r="K171" s="15">
        <f>'Fiscal Forecasts'!K$227 +IF($C$2="Yes",'Fiscal Forecast Adjuster'!G$15/1000,0)</f>
        <v>17.353000000000002</v>
      </c>
      <c r="L171" s="6">
        <f ca="1">K$171*(1+Population!S$222)*L$192/K$192</f>
        <v>18.285801933534746</v>
      </c>
      <c r="M171" s="6">
        <f ca="1">L$171*(1+Population!T$222)*M$192/L$192</f>
        <v>19.546790190896726</v>
      </c>
      <c r="N171" s="6">
        <f ca="1">M$171*(1+Population!U$222)*N$192/M$192</f>
        <v>20.917352445641338</v>
      </c>
      <c r="O171" s="6">
        <f ca="1">N$171*(1+Population!V$222)*O$192/N$192</f>
        <v>22.400339543844808</v>
      </c>
      <c r="P171" s="6">
        <f ca="1">O$171*(1+Population!W$222)*P$192/O$192</f>
        <v>23.973798605017446</v>
      </c>
      <c r="Q171" s="6">
        <f ca="1">P$171*(1+Population!X$222)*Q$192/P$192</f>
        <v>25.614988655534752</v>
      </c>
      <c r="R171" s="6">
        <f ca="1">Q$171*(1+Population!Y$222)*R$192/Q$192</f>
        <v>27.300808735693789</v>
      </c>
      <c r="S171" s="6">
        <f ca="1">R$171*(1+Population!Z$222)*S$192/R$192</f>
        <v>28.994385314711653</v>
      </c>
      <c r="T171" s="6">
        <f ca="1">S$171*(1+Population!AA$222)*T$192/S$192</f>
        <v>30.739780866778254</v>
      </c>
      <c r="U171" s="6">
        <f ca="1">T$171*(1+Population!AB$222)*U$192/T$192</f>
        <v>32.557065123691238</v>
      </c>
    </row>
    <row r="172" spans="1:21" x14ac:dyDescent="0.2">
      <c r="A172" s="1" t="s">
        <v>462</v>
      </c>
      <c r="B172" s="4" t="str">
        <f t="shared" si="107"/>
        <v>From Fiscal</v>
      </c>
      <c r="D172" s="14">
        <f>'Fiscal Forecasts'!D$228</f>
        <v>1.6839999999999999</v>
      </c>
      <c r="E172" s="14">
        <f>'Fiscal Forecasts'!E$228</f>
        <v>1.671</v>
      </c>
      <c r="F172" s="14">
        <f>'Fiscal Forecasts'!F$228</f>
        <v>1.6970000000000001</v>
      </c>
      <c r="G172" s="15">
        <f>'Fiscal Forecasts'!G$228 +IF($C$2="Yes",'Fiscal Forecast Adjuster'!C$16/1000,0)</f>
        <v>1.6930000000000001</v>
      </c>
      <c r="H172" s="15">
        <f>'Fiscal Forecasts'!H$228 +IF($C$2="Yes",'Fiscal Forecast Adjuster'!D$16/1000,0)</f>
        <v>1.712</v>
      </c>
      <c r="I172" s="15">
        <f>'Fiscal Forecasts'!I$228 +IF($C$2="Yes",'Fiscal Forecast Adjuster'!E$16/1000,0)</f>
        <v>1.66</v>
      </c>
      <c r="J172" s="15">
        <f>'Fiscal Forecasts'!J$228 +IF($C$2="Yes",'Fiscal Forecast Adjuster'!F$16/1000,0)</f>
        <v>1.599</v>
      </c>
      <c r="K172" s="15">
        <f>'Fiscal Forecasts'!K$228 +IF($C$2="Yes",'Fiscal Forecast Adjuster'!G$16/1000,0)</f>
        <v>1.5940000000000001</v>
      </c>
      <c r="L172" s="6">
        <f ca="1">IF(OFFSET(Assumptions!$B$50,0,$C$1)="Yes",IF(L$6=OFFSET(Assumptions!$B$8,0,$C$1),AVERAGE(I$172/SUM(I$172:I$174),J$172/SUM(J$172:J$174),K$172/SUM(K$172:K$174)),K$172/SUM(K$172:K$174))*L$13*(SUM(K$172:K$174)/K$13+MIN(ABS(OFFSET(Assumptions!$B$51,0,$C$1)-SUM(K$172:K$174)/K$13),OFFSET(Assumptions!$B$58,0,$C$1))*SIGN(OFFSET(Assumptions!$B$51,0,$C$1)-SUM(K$172:K$174)/K$13)),K$172*(1+Exogenous!$B$41*Population!S$208+Exogenous!$B$42*Population!S$210+Exogenous!$B$43*Population!S$213+Exogenous!$B$44*Population!S$216+Exogenous!$B$45*Population!S$220+Exogenous!$B$46*Population!S$222)*AVERAGE(1,L$17*L$24/(K$17*K$24))*(1+L$30))</f>
        <v>1.6573771613233199</v>
      </c>
      <c r="M172" s="6">
        <f ca="1">IF(OFFSET(Assumptions!$B$50,0,$C$1)="Yes",IF(M$6=OFFSET(Assumptions!$B$8,0,$C$1),AVERAGE(J$172/SUM(J$172:J$174),K$172/SUM(K$172:K$174),L$172/SUM(L$172:L$174)),L$172/SUM(L$172:L$174))*M$13*(SUM(L$172:L$174)/L$13+MIN(ABS(OFFSET(Assumptions!$B$51,0,$C$1)-SUM(L$172:L$174)/L$13),OFFSET(Assumptions!$B$58,0,$C$1))*SIGN(OFFSET(Assumptions!$B$51,0,$C$1)-SUM(L$172:L$174)/L$13)),L$172*(1+Exogenous!$B$41*Population!T$208+Exogenous!$B$42*Population!T$210+Exogenous!$B$43*Population!T$213+Exogenous!$B$44*Population!T$216+Exogenous!$B$45*Population!T$220+Exogenous!$B$46*Population!T$222)*AVERAGE(1,M$17*M$24/(L$17*L$24))*(1+M$30))</f>
        <v>1.7028243581098861</v>
      </c>
      <c r="N172" s="6">
        <f ca="1">IF(OFFSET(Assumptions!$B$50,0,$C$1)="Yes",IF(N$6=OFFSET(Assumptions!$B$8,0,$C$1),AVERAGE(K$172/SUM(K$172:K$174),L$172/SUM(L$172:L$174),M$172/SUM(M$172:M$174)),M$172/SUM(M$172:M$174))*N$13*(SUM(M$172:M$174)/M$13+MIN(ABS(OFFSET(Assumptions!$B$51,0,$C$1)-SUM(M$172:M$174)/M$13),OFFSET(Assumptions!$B$58,0,$C$1))*SIGN(OFFSET(Assumptions!$B$51,0,$C$1)-SUM(M$172:M$174)/M$13)),M$172*(1+Exogenous!$B$41*Population!U$208+Exogenous!$B$42*Population!U$210+Exogenous!$B$43*Population!U$213+Exogenous!$B$44*Population!U$216+Exogenous!$B$45*Population!U$220+Exogenous!$B$46*Population!U$222)*AVERAGE(1,N$17*N$24/(M$17*M$24))*(1+N$30))</f>
        <v>1.749559439583392</v>
      </c>
      <c r="O172" s="6">
        <f ca="1">IF(OFFSET(Assumptions!$B$50,0,$C$1)="Yes",IF(O$6=OFFSET(Assumptions!$B$8,0,$C$1),AVERAGE(L$172/SUM(L$172:L$174),M$172/SUM(M$172:M$174),N$172/SUM(N$172:N$174)),N$172/SUM(N$172:N$174))*O$13*(SUM(N$172:N$174)/N$13+MIN(ABS(OFFSET(Assumptions!$B$51,0,$C$1)-SUM(N$172:N$174)/N$13),OFFSET(Assumptions!$B$58,0,$C$1))*SIGN(OFFSET(Assumptions!$B$51,0,$C$1)-SUM(N$172:N$174)/N$13)),N$172*(1+Exogenous!$B$41*Population!V$208+Exogenous!$B$42*Population!V$210+Exogenous!$B$43*Population!V$213+Exogenous!$B$44*Population!V$216+Exogenous!$B$45*Population!V$220+Exogenous!$B$46*Population!V$222)*AVERAGE(1,O$17*O$24/(N$17*N$24))*(1+O$30))</f>
        <v>1.7972344511102687</v>
      </c>
      <c r="P172" s="6">
        <f ca="1">IF(OFFSET(Assumptions!$B$50,0,$C$1)="Yes",IF(P$6=OFFSET(Assumptions!$B$8,0,$C$1),AVERAGE(M$172/SUM(M$172:M$174),N$172/SUM(N$172:N$174),O$172/SUM(O$172:O$174)),O$172/SUM(O$172:O$174))*P$13*(SUM(O$172:O$174)/O$13+MIN(ABS(OFFSET(Assumptions!$B$51,0,$C$1)-SUM(O$172:O$174)/O$13),OFFSET(Assumptions!$B$58,0,$C$1))*SIGN(OFFSET(Assumptions!$B$51,0,$C$1)-SUM(O$172:O$174)/O$13)),O$172*(1+Exogenous!$B$41*Population!W$208+Exogenous!$B$42*Population!W$210+Exogenous!$B$43*Population!W$213+Exogenous!$B$44*Population!W$216+Exogenous!$B$45*Population!W$220+Exogenous!$B$46*Population!W$222)*AVERAGE(1,P$17*P$24/(O$17*O$24))*(1+P$30))</f>
        <v>1.8455988598812441</v>
      </c>
      <c r="Q172" s="6">
        <f ca="1">IF(OFFSET(Assumptions!$B$50,0,$C$1)="Yes",IF(Q$6=OFFSET(Assumptions!$B$8,0,$C$1),AVERAGE(N$172/SUM(N$172:N$174),O$172/SUM(O$172:O$174),P$172/SUM(P$172:P$174)),P$172/SUM(P$172:P$174))*Q$13*(SUM(P$172:P$174)/P$13+MIN(ABS(OFFSET(Assumptions!$B$51,0,$C$1)-SUM(P$172:P$174)/P$13),OFFSET(Assumptions!$B$58,0,$C$1))*SIGN(OFFSET(Assumptions!$B$51,0,$C$1)-SUM(P$172:P$174)/P$13)),P$172*(1+Exogenous!$B$41*Population!X$208+Exogenous!$B$42*Population!X$210+Exogenous!$B$43*Population!X$213+Exogenous!$B$44*Population!X$216+Exogenous!$B$45*Population!X$220+Exogenous!$B$46*Population!X$222)*AVERAGE(1,Q$17*Q$24/(P$17*P$24))*(1+Q$30))</f>
        <v>1.8967564274067696</v>
      </c>
      <c r="R172" s="6">
        <f ca="1">IF(OFFSET(Assumptions!$B$50,0,$C$1)="Yes",IF(R$6=OFFSET(Assumptions!$B$8,0,$C$1),AVERAGE(O$172/SUM(O$172:O$174),P$172/SUM(P$172:P$174),Q$172/SUM(Q$172:Q$174)),Q$172/SUM(Q$172:Q$174))*R$13*(SUM(Q$172:Q$174)/Q$13+MIN(ABS(OFFSET(Assumptions!$B$51,0,$C$1)-SUM(Q$172:Q$174)/Q$13),OFFSET(Assumptions!$B$58,0,$C$1))*SIGN(OFFSET(Assumptions!$B$51,0,$C$1)-SUM(Q$172:Q$174)/Q$13)),Q$172*(1+Exogenous!$B$41*Population!Y$208+Exogenous!$B$42*Population!Y$210+Exogenous!$B$43*Population!Y$213+Exogenous!$B$44*Population!Y$216+Exogenous!$B$45*Population!Y$220+Exogenous!$B$46*Population!Y$222)*AVERAGE(1,R$17*R$24/(Q$17*Q$24))*(1+R$30))</f>
        <v>1.949568958476815</v>
      </c>
      <c r="S172" s="6">
        <f ca="1">IF(OFFSET(Assumptions!$B$50,0,$C$1)="Yes",IF(S$6=OFFSET(Assumptions!$B$8,0,$C$1),AVERAGE(P$172/SUM(P$172:P$174),Q$172/SUM(Q$172:Q$174),R$172/SUM(R$172:R$174)),R$172/SUM(R$172:R$174))*S$13*(SUM(R$172:R$174)/R$13+MIN(ABS(OFFSET(Assumptions!$B$51,0,$C$1)-SUM(R$172:R$174)/R$13),OFFSET(Assumptions!$B$58,0,$C$1))*SIGN(OFFSET(Assumptions!$B$51,0,$C$1)-SUM(R$172:R$174)/R$13)),R$172*(1+Exogenous!$B$41*Population!Z$208+Exogenous!$B$42*Population!Z$210+Exogenous!$B$43*Population!Z$213+Exogenous!$B$44*Population!Z$216+Exogenous!$B$45*Population!Z$220+Exogenous!$B$46*Population!Z$222)*AVERAGE(1,S$17*S$24/(R$17*R$24))*(1+S$30))</f>
        <v>2.0042183199956058</v>
      </c>
      <c r="T172" s="6">
        <f ca="1">IF(OFFSET(Assumptions!$B$50,0,$C$1)="Yes",IF(T$6=OFFSET(Assumptions!$B$8,0,$C$1),AVERAGE(Q$172/SUM(Q$172:Q$174),R$172/SUM(R$172:R$174),S$172/SUM(S$172:S$174)),S$172/SUM(S$172:S$174))*T$13*(SUM(S$172:S$174)/S$13+MIN(ABS(OFFSET(Assumptions!$B$51,0,$C$1)-SUM(S$172:S$174)/S$13),OFFSET(Assumptions!$B$58,0,$C$1))*SIGN(OFFSET(Assumptions!$B$51,0,$C$1)-SUM(S$172:S$174)/S$13)),S$172*(1+Exogenous!$B$41*Population!AA$208+Exogenous!$B$42*Population!AA$210+Exogenous!$B$43*Population!AA$213+Exogenous!$B$44*Population!AA$216+Exogenous!$B$45*Population!AA$220+Exogenous!$B$46*Population!AA$222)*AVERAGE(1,T$17*T$24/(S$17*S$24))*(1+T$30))</f>
        <v>2.060924030118235</v>
      </c>
      <c r="U172" s="6">
        <f ca="1">IF(OFFSET(Assumptions!$B$50,0,$C$1)="Yes",IF(U$6=OFFSET(Assumptions!$B$8,0,$C$1),AVERAGE(R$172/SUM(R$172:R$174),S$172/SUM(S$172:S$174),T$172/SUM(T$172:T$174)),T$172/SUM(T$172:T$174))*U$13*(SUM(T$172:T$174)/T$13+MIN(ABS(OFFSET(Assumptions!$B$51,0,$C$1)-SUM(T$172:T$174)/T$13),OFFSET(Assumptions!$B$58,0,$C$1))*SIGN(OFFSET(Assumptions!$B$51,0,$C$1)-SUM(T$172:T$174)/T$13)),T$172*(1+Exogenous!$B$41*Population!AB$208+Exogenous!$B$42*Population!AB$210+Exogenous!$B$43*Population!AB$213+Exogenous!$B$44*Population!AB$216+Exogenous!$B$45*Population!AB$220+Exogenous!$B$46*Population!AB$222)*AVERAGE(1,U$17*U$24/(T$17*T$24))*(1+U$30))</f>
        <v>2.1188971156233363</v>
      </c>
    </row>
    <row r="173" spans="1:21" x14ac:dyDescent="0.2">
      <c r="A173" s="1" t="s">
        <v>291</v>
      </c>
      <c r="B173" s="4" t="str">
        <f t="shared" si="107"/>
        <v>From Fiscal</v>
      </c>
      <c r="D173" s="14">
        <f>'Fiscal Forecasts'!D$229</f>
        <v>1.5149999999999999</v>
      </c>
      <c r="E173" s="14">
        <f>'Fiscal Forecasts'!E$229</f>
        <v>1.5229999999999999</v>
      </c>
      <c r="F173" s="14">
        <f>'Fiscal Forecasts'!F$229</f>
        <v>1.5329999999999999</v>
      </c>
      <c r="G173" s="15">
        <f>'Fiscal Forecasts'!G$229 +IF($C$2="Yes",'Fiscal Forecast Adjuster'!C$17/1000,0)</f>
        <v>1.54</v>
      </c>
      <c r="H173" s="15">
        <f>'Fiscal Forecasts'!H$229 +IF($C$2="Yes",'Fiscal Forecast Adjuster'!D$17/1000,0)</f>
        <v>1.5549999999999999</v>
      </c>
      <c r="I173" s="15">
        <f>'Fiscal Forecasts'!I$229 +IF($C$2="Yes",'Fiscal Forecast Adjuster'!E$17/1000,0)</f>
        <v>1.569</v>
      </c>
      <c r="J173" s="15">
        <f>'Fiscal Forecasts'!J$229 +IF($C$2="Yes",'Fiscal Forecast Adjuster'!F$17/1000,0)</f>
        <v>1.5780000000000001</v>
      </c>
      <c r="K173" s="15">
        <f>'Fiscal Forecasts'!K$229 +IF($C$2="Yes",'Fiscal Forecast Adjuster'!G$17/1000,0)</f>
        <v>1.5920000000000001</v>
      </c>
      <c r="L173" s="6">
        <f ca="1">IF(OFFSET(Assumptions!$B$50,0,$C$1)="Yes",IF(L$6=OFFSET(Assumptions!$B$8,0,$C$1),AVERAGE(I$173/SUM(I$172:I$174),J$173/SUM(J$172:J$174),K$173/SUM(K$172:K$174)),K$173/SUM(K$172:K$174))*L$13*(SUM(K$172:K$174)/K$13+MIN(ABS(OFFSET(Assumptions!$B$51,0,$C$1)-SUM(K$172:K$174)/K$13),OFFSET(Assumptions!$B$58,0,$C$1))*SIGN(OFFSET(Assumptions!$B$51,0,$C$1)-SUM(K$172:K$174)/K$13)),K$173*(1+Exogenous!$I$41*Population!S$208+Exogenous!$I$42*Population!S$212+Exogenous!$I$43*Population!S$215+Exogenous!$I$44*Population!S$219+Exogenous!$I$45*Population!S$221+Exogenous!$I$46*Population!S$222)*(1+L$30))</f>
        <v>1.6325339228954787</v>
      </c>
      <c r="M173" s="6">
        <f ca="1">IF(OFFSET(Assumptions!$B$50,0,$C$1)="Yes",IF(M$6=OFFSET(Assumptions!$B$8,0,$C$1),AVERAGE(J$173/SUM(J$172:J$174),K$173/SUM(K$172:K$174),L$173/SUM(L$172:L$174)),L$173/SUM(L$172:L$174))*M$13*(SUM(L$172:L$174)/L$13+MIN(ABS(OFFSET(Assumptions!$B$51,0,$C$1)-SUM(L$172:L$174)/L$13),OFFSET(Assumptions!$B$58,0,$C$1))*SIGN(OFFSET(Assumptions!$B$51,0,$C$1)-SUM(L$172:L$174)/L$13)),L$173*(1+Exogenous!$I$41*Population!T$208+Exogenous!$I$42*Population!T$212+Exogenous!$I$43*Population!T$215+Exogenous!$I$44*Population!T$219+Exogenous!$I$45*Population!T$221+Exogenous!$I$46*Population!T$222)*(1+M$30))</f>
        <v>1.6713114575856376</v>
      </c>
      <c r="N173" s="6">
        <f ca="1">IF(OFFSET(Assumptions!$B$50,0,$C$1)="Yes",IF(N$6=OFFSET(Assumptions!$B$8,0,$C$1),AVERAGE(K$173/SUM(K$172:K$174),L$173/SUM(L$172:L$174),M$173/SUM(M$172:M$174)),M$173/SUM(M$172:M$174))*N$13*(SUM(M$172:M$174)/M$13+MIN(ABS(OFFSET(Assumptions!$B$51,0,$C$1)-SUM(M$172:M$174)/M$13),OFFSET(Assumptions!$B$58,0,$C$1))*SIGN(OFFSET(Assumptions!$B$51,0,$C$1)-SUM(M$172:M$174)/M$13)),M$173*(1+Exogenous!$I$41*Population!U$208+Exogenous!$I$42*Population!U$212+Exogenous!$I$43*Population!U$215+Exogenous!$I$44*Population!U$219+Exogenous!$I$45*Population!U$221+Exogenous!$I$46*Population!U$222)*(1+N$30))</f>
        <v>1.7108910365055487</v>
      </c>
      <c r="O173" s="6">
        <f ca="1">IF(OFFSET(Assumptions!$B$50,0,$C$1)="Yes",IF(O$6=OFFSET(Assumptions!$B$8,0,$C$1),AVERAGE(L$173/SUM(L$172:L$174),M$173/SUM(M$172:M$174),N$173/SUM(N$172:N$174)),N$173/SUM(N$172:N$174))*O$13*(SUM(N$172:N$174)/N$13+MIN(ABS(OFFSET(Assumptions!$B$51,0,$C$1)-SUM(N$172:N$174)/N$13),OFFSET(Assumptions!$B$58,0,$C$1))*SIGN(OFFSET(Assumptions!$B$51,0,$C$1)-SUM(N$172:N$174)/N$13)),N$173*(1+Exogenous!$I$41*Population!V$208+Exogenous!$I$42*Population!V$212+Exogenous!$I$43*Population!V$215+Exogenous!$I$44*Population!V$219+Exogenous!$I$45*Population!V$221+Exogenous!$I$46*Population!V$222)*(1+O$30))</f>
        <v>1.7497843661954546</v>
      </c>
      <c r="P173" s="6">
        <f ca="1">IF(OFFSET(Assumptions!$B$50,0,$C$1)="Yes",IF(P$6=OFFSET(Assumptions!$B$8,0,$C$1),AVERAGE(M$173/SUM(M$172:M$174),N$173/SUM(N$172:N$174),O$173/SUM(O$172:O$174)),O$173/SUM(O$172:O$174))*P$13*(SUM(O$172:O$174)/O$13+MIN(ABS(OFFSET(Assumptions!$B$51,0,$C$1)-SUM(O$172:O$174)/O$13),OFFSET(Assumptions!$B$58,0,$C$1))*SIGN(OFFSET(Assumptions!$B$51,0,$C$1)-SUM(O$172:O$174)/O$13)),O$173*(1+Exogenous!$I$41*Population!W$208+Exogenous!$I$42*Population!W$212+Exogenous!$I$43*Population!W$215+Exogenous!$I$44*Population!W$219+Exogenous!$I$45*Population!W$221+Exogenous!$I$46*Population!W$222)*(1+P$30))</f>
        <v>1.7885911459598338</v>
      </c>
      <c r="Q173" s="6">
        <f ca="1">IF(OFFSET(Assumptions!$B$50,0,$C$1)="Yes",IF(Q$6=OFFSET(Assumptions!$B$8,0,$C$1),AVERAGE(N$173/SUM(N$172:N$174),O$173/SUM(O$172:O$174),P$173/SUM(P$172:P$174)),P$173/SUM(P$172:P$174))*Q$13*(SUM(P$172:P$174)/P$13+MIN(ABS(OFFSET(Assumptions!$B$51,0,$C$1)-SUM(P$172:P$174)/P$13),OFFSET(Assumptions!$B$58,0,$C$1))*SIGN(OFFSET(Assumptions!$B$51,0,$C$1)-SUM(P$172:P$174)/P$13)),P$173*(1+Exogenous!$I$41*Population!X$208+Exogenous!$I$42*Population!X$212+Exogenous!$I$43*Population!X$215+Exogenous!$I$44*Population!X$219+Exogenous!$I$45*Population!X$221+Exogenous!$I$46*Population!X$222)*(1+Q$30))</f>
        <v>1.8291516905098115</v>
      </c>
      <c r="R173" s="6">
        <f ca="1">IF(OFFSET(Assumptions!$B$50,0,$C$1)="Yes",IF(R$6=OFFSET(Assumptions!$B$8,0,$C$1),AVERAGE(O$173/SUM(O$172:O$174),P$173/SUM(P$172:P$174),Q$173/SUM(Q$172:Q$174)),Q$173/SUM(Q$172:Q$174))*R$13*(SUM(Q$172:Q$174)/Q$13+MIN(ABS(OFFSET(Assumptions!$B$51,0,$C$1)-SUM(Q$172:Q$174)/Q$13),OFFSET(Assumptions!$B$58,0,$C$1))*SIGN(OFFSET(Assumptions!$B$51,0,$C$1)-SUM(Q$172:Q$174)/Q$13)),Q$173*(1+Exogenous!$I$41*Population!Y$208+Exogenous!$I$42*Population!Y$212+Exogenous!$I$43*Population!Y$215+Exogenous!$I$44*Population!Y$219+Exogenous!$I$45*Population!Y$221+Exogenous!$I$46*Population!Y$222)*(1+R$30))</f>
        <v>1.8724590831645946</v>
      </c>
      <c r="S173" s="6">
        <f ca="1">IF(OFFSET(Assumptions!$B$50,0,$C$1)="Yes",IF(S$6=OFFSET(Assumptions!$B$8,0,$C$1),AVERAGE(P$173/SUM(P$172:P$174),Q$173/SUM(Q$172:Q$174),R$173/SUM(R$172:R$174)),R$173/SUM(R$172:R$174))*S$13*(SUM(R$172:R$174)/R$13+MIN(ABS(OFFSET(Assumptions!$B$51,0,$C$1)-SUM(R$172:R$174)/R$13),OFFSET(Assumptions!$B$58,0,$C$1))*SIGN(OFFSET(Assumptions!$B$51,0,$C$1)-SUM(R$172:R$174)/R$13)),R$173*(1+Exogenous!$I$41*Population!Z$208+Exogenous!$I$42*Population!Z$212+Exogenous!$I$43*Population!Z$215+Exogenous!$I$44*Population!Z$219+Exogenous!$I$45*Population!Z$221+Exogenous!$I$46*Population!Z$222)*(1+S$30))</f>
        <v>1.9197110043596075</v>
      </c>
      <c r="T173" s="6">
        <f ca="1">IF(OFFSET(Assumptions!$B$50,0,$C$1)="Yes",IF(T$6=OFFSET(Assumptions!$B$8,0,$C$1),AVERAGE(Q$173/SUM(Q$172:Q$174),R$173/SUM(R$172:R$174),S$173/SUM(S$172:S$174)),S$173/SUM(S$172:S$174))*T$13*(SUM(S$172:S$174)/S$13+MIN(ABS(OFFSET(Assumptions!$B$51,0,$C$1)-SUM(S$172:S$174)/S$13),OFFSET(Assumptions!$B$58,0,$C$1))*SIGN(OFFSET(Assumptions!$B$51,0,$C$1)-SUM(S$172:S$174)/S$13)),S$173*(1+Exogenous!$I$41*Population!AA$208+Exogenous!$I$42*Population!AA$212+Exogenous!$I$43*Population!AA$215+Exogenous!$I$44*Population!AA$219+Exogenous!$I$45*Population!AA$221+Exogenous!$I$46*Population!AA$222)*(1+T$30))</f>
        <v>1.969868204549525</v>
      </c>
      <c r="U173" s="6">
        <f ca="1">IF(OFFSET(Assumptions!$B$50,0,$C$1)="Yes",IF(U$6=OFFSET(Assumptions!$B$8,0,$C$1),AVERAGE(R$173/SUM(R$172:R$174),S$173/SUM(S$172:S$174),T$173/SUM(T$172:T$174)),T$173/SUM(T$172:T$174))*U$13*(SUM(T$172:T$174)/T$13+MIN(ABS(OFFSET(Assumptions!$B$51,0,$C$1)-SUM(T$172:T$174)/T$13),OFFSET(Assumptions!$B$58,0,$C$1))*SIGN(OFFSET(Assumptions!$B$51,0,$C$1)-SUM(T$172:T$174)/T$13)),T$173*(1+Exogenous!$I$41*Population!AB$208+Exogenous!$I$42*Population!AB$212+Exogenous!$I$43*Population!AB$215+Exogenous!$I$44*Population!AB$219+Exogenous!$I$45*Population!AB$221+Exogenous!$I$46*Population!AB$222)*(1+U$30))</f>
        <v>2.0197894136562224</v>
      </c>
    </row>
    <row r="174" spans="1:21" x14ac:dyDescent="0.2">
      <c r="A174" s="1" t="s">
        <v>292</v>
      </c>
      <c r="B174" s="4" t="str">
        <f t="shared" si="107"/>
        <v>From Fiscal</v>
      </c>
      <c r="D174" s="14">
        <f>'Fiscal Forecasts'!D$230</f>
        <v>1.1859999999999999</v>
      </c>
      <c r="E174" s="14">
        <f>'Fiscal Forecasts'!E$230</f>
        <v>1.153</v>
      </c>
      <c r="F174" s="14">
        <f>'Fiscal Forecasts'!F$230</f>
        <v>1.159</v>
      </c>
      <c r="G174" s="15">
        <f>'Fiscal Forecasts'!G$230 +IF($C$2="Yes",'Fiscal Forecast Adjuster'!C$18/1000,0)</f>
        <v>1.109</v>
      </c>
      <c r="H174" s="15">
        <f>'Fiscal Forecasts'!H$230 +IF($C$2="Yes",'Fiscal Forecast Adjuster'!D$18/1000,0)</f>
        <v>1.0840000000000001</v>
      </c>
      <c r="I174" s="15">
        <f>'Fiscal Forecasts'!I$230 +IF($C$2="Yes",'Fiscal Forecast Adjuster'!E$18/1000,0)</f>
        <v>1.095</v>
      </c>
      <c r="J174" s="15">
        <f>'Fiscal Forecasts'!J$230 +IF($C$2="Yes",'Fiscal Forecast Adjuster'!F$18/1000,0)</f>
        <v>1.1140000000000001</v>
      </c>
      <c r="K174" s="15">
        <f>'Fiscal Forecasts'!K$230 +IF($C$2="Yes",'Fiscal Forecast Adjuster'!G$18/1000,0)</f>
        <v>1.139</v>
      </c>
      <c r="L174" s="6">
        <f ca="1">IF(OFFSET(Assumptions!$B$50,0,$C$1)="Yes",IF(L$6=OFFSET(Assumptions!$B$8,0,$C$1),AVERAGE(I$174/SUM(I$172:I$174),J$174/SUM(J$172:J$174),K$174/SUM(K$172:K$174)),K$174/SUM(K$172:K$174))*L$13*(SUM(K$172:K$174)/K$13+MIN(ABS(OFFSET(Assumptions!$B$51,0,$C$1)-SUM(K$172:K$174)/K$13),OFFSET(Assumptions!$B$58,0,$C$1))*SIGN(OFFSET(Assumptions!$B$51,0,$C$1)-SUM(K$172:K$174)/K$13)),K$174*(1+Exogenous!$P$41*Population!S$209+Exogenous!$P$42*Population!S$211+Exogenous!$P$43*Population!S$214+Exogenous!$P$44*Population!S$217+Exogenous!$P$45*Population!S$218+Exogenous!$P$46*Population!S$223)*(1+L$30))</f>
        <v>1.1615113399324137</v>
      </c>
      <c r="M174" s="6">
        <f ca="1">IF(OFFSET(Assumptions!$B$50,0,$C$1)="Yes",IF(M$6=OFFSET(Assumptions!$B$8,0,$C$1),AVERAGE(J$174/SUM(J$172:J$174),K$174/SUM(K$172:K$174),L$174/SUM(L$172:L$174)),L$174/SUM(L$172:L$174))*M$13*(SUM(L$172:L$174)/L$13+MIN(ABS(OFFSET(Assumptions!$B$51,0,$C$1)-SUM(L$172:L$174)/L$13),OFFSET(Assumptions!$B$58,0,$C$1))*SIGN(OFFSET(Assumptions!$B$51,0,$C$1)-SUM(L$172:L$174)/L$13)),L$174*(1+Exogenous!$P$41*Population!T$209+Exogenous!$P$42*Population!T$211+Exogenous!$P$43*Population!T$214+Exogenous!$P$44*Population!T$217+Exogenous!$P$45*Population!T$218+Exogenous!$P$46*Population!T$223)*(1+M$30))</f>
        <v>1.1848744070085453</v>
      </c>
      <c r="N174" s="6">
        <f ca="1">IF(OFFSET(Assumptions!$B$50,0,$C$1)="Yes",IF(N$6=OFFSET(Assumptions!$B$8,0,$C$1),AVERAGE(K$174/SUM(K$172:K$174),L$174/SUM(L$172:L$174),M$174/SUM(M$172:M$174)),M$174/SUM(M$172:M$174))*N$13*(SUM(M$172:M$174)/M$13+MIN(ABS(OFFSET(Assumptions!$B$51,0,$C$1)-SUM(M$172:M$174)/M$13),OFFSET(Assumptions!$B$58,0,$C$1))*SIGN(OFFSET(Assumptions!$B$51,0,$C$1)-SUM(M$172:M$174)/M$13)),M$174*(1+Exogenous!$P$41*Population!U$209+Exogenous!$P$42*Population!U$211+Exogenous!$P$43*Population!U$214+Exogenous!$P$44*Population!U$217+Exogenous!$P$45*Population!U$218+Exogenous!$P$46*Population!U$223)*(1+N$30))</f>
        <v>1.2092636932270204</v>
      </c>
      <c r="O174" s="6">
        <f ca="1">IF(OFFSET(Assumptions!$B$50,0,$C$1)="Yes",IF(O$6=OFFSET(Assumptions!$B$8,0,$C$1),AVERAGE(L$174/SUM(L$172:L$174),M$174/SUM(M$172:M$174),N$174/SUM(N$172:N$174)),N$174/SUM(N$172:N$174))*O$13*(SUM(N$172:N$174)/N$13+MIN(ABS(OFFSET(Assumptions!$B$51,0,$C$1)-SUM(N$172:N$174)/N$13),OFFSET(Assumptions!$B$58,0,$C$1))*SIGN(OFFSET(Assumptions!$B$51,0,$C$1)-SUM(N$172:N$174)/N$13)),N$174*(1+Exogenous!$P$41*Population!V$209+Exogenous!$P$42*Population!V$211+Exogenous!$P$43*Population!V$214+Exogenous!$P$44*Population!V$217+Exogenous!$P$45*Population!V$218+Exogenous!$P$46*Population!V$223)*(1+O$30))</f>
        <v>1.2356630021847852</v>
      </c>
      <c r="P174" s="6">
        <f ca="1">IF(OFFSET(Assumptions!$B$50,0,$C$1)="Yes",IF(P$6=OFFSET(Assumptions!$B$8,0,$C$1),AVERAGE(M$174/SUM(M$172:M$174),N$174/SUM(N$172:N$174),O$174/SUM(O$172:O$174)),O$174/SUM(O$172:O$174))*P$13*(SUM(O$172:O$174)/O$13+MIN(ABS(OFFSET(Assumptions!$B$51,0,$C$1)-SUM(O$172:O$174)/O$13),OFFSET(Assumptions!$B$58,0,$C$1))*SIGN(OFFSET(Assumptions!$B$51,0,$C$1)-SUM(O$172:O$174)/O$13)),O$174*(1+Exogenous!$P$41*Population!W$209+Exogenous!$P$42*Population!W$211+Exogenous!$P$43*Population!W$214+Exogenous!$P$44*Population!W$217+Exogenous!$P$45*Population!W$218+Exogenous!$P$46*Population!W$223)*(1+P$30))</f>
        <v>1.2635318543122784</v>
      </c>
      <c r="Q174" s="6">
        <f ca="1">IF(OFFSET(Assumptions!$B$50,0,$C$1)="Yes",IF(Q$6=OFFSET(Assumptions!$B$8,0,$C$1),AVERAGE(N$174/SUM(N$172:N$174),O$174/SUM(O$172:O$174),P$174/SUM(P$172:P$174)),P$174/SUM(P$172:P$174))*Q$13*(SUM(P$172:P$174)/P$13+MIN(ABS(OFFSET(Assumptions!$B$51,0,$C$1)-SUM(P$172:P$174)/P$13),OFFSET(Assumptions!$B$58,0,$C$1))*SIGN(OFFSET(Assumptions!$B$51,0,$C$1)-SUM(P$172:P$174)/P$13)),P$174*(1+Exogenous!$P$41*Population!X$209+Exogenous!$P$42*Population!X$211+Exogenous!$P$43*Population!X$214+Exogenous!$P$44*Population!X$217+Exogenous!$P$45*Population!X$218+Exogenous!$P$46*Population!X$223)*(1+Q$30))</f>
        <v>1.2943653140546127</v>
      </c>
      <c r="R174" s="6">
        <f ca="1">IF(OFFSET(Assumptions!$B$50,0,$C$1)="Yes",IF(R$6=OFFSET(Assumptions!$B$8,0,$C$1),AVERAGE(O$174/SUM(O$172:O$174),P$174/SUM(P$172:P$174),Q$174/SUM(Q$172:Q$174)),Q$174/SUM(Q$172:Q$174))*R$13*(SUM(Q$172:Q$174)/Q$13+MIN(ABS(OFFSET(Assumptions!$B$51,0,$C$1)-SUM(Q$172:Q$174)/Q$13),OFFSET(Assumptions!$B$58,0,$C$1))*SIGN(OFFSET(Assumptions!$B$51,0,$C$1)-SUM(Q$172:Q$174)/Q$13)),Q$174*(1+Exogenous!$P$41*Population!Y$209+Exogenous!$P$42*Population!Y$211+Exogenous!$P$43*Population!Y$214+Exogenous!$P$44*Population!Y$217+Exogenous!$P$45*Population!Y$218+Exogenous!$P$46*Population!Y$223)*(1+R$30))</f>
        <v>1.3255655942906552</v>
      </c>
      <c r="S174" s="6">
        <f ca="1">IF(OFFSET(Assumptions!$B$50,0,$C$1)="Yes",IF(S$6=OFFSET(Assumptions!$B$8,0,$C$1),AVERAGE(P$174/SUM(P$172:P$174),Q$174/SUM(Q$172:Q$174),R$174/SUM(R$172:R$174)),R$174/SUM(R$172:R$174))*S$13*(SUM(R$172:R$174)/R$13+MIN(ABS(OFFSET(Assumptions!$B$51,0,$C$1)-SUM(R$172:R$174)/R$13),OFFSET(Assumptions!$B$58,0,$C$1))*SIGN(OFFSET(Assumptions!$B$51,0,$C$1)-SUM(R$172:R$174)/R$13)),R$174*(1+Exogenous!$P$41*Population!Z$209+Exogenous!$P$42*Population!Z$211+Exogenous!$P$43*Population!Z$214+Exogenous!$P$44*Population!Z$217+Exogenous!$P$45*Population!Z$218+Exogenous!$P$46*Population!Z$223)*(1+S$30))</f>
        <v>1.3572943616526651</v>
      </c>
      <c r="T174" s="6">
        <f ca="1">IF(OFFSET(Assumptions!$B$50,0,$C$1)="Yes",IF(T$6=OFFSET(Assumptions!$B$8,0,$C$1),AVERAGE(Q$174/SUM(Q$172:Q$174),R$174/SUM(R$172:R$174),S$174/SUM(S$172:S$174)),S$174/SUM(S$172:S$174))*T$13*(SUM(S$172:S$174)/S$13+MIN(ABS(OFFSET(Assumptions!$B$51,0,$C$1)-SUM(S$172:S$174)/S$13),OFFSET(Assumptions!$B$58,0,$C$1))*SIGN(OFFSET(Assumptions!$B$51,0,$C$1)-SUM(S$172:S$174)/S$13)),S$174*(1+Exogenous!$P$41*Population!AA$209+Exogenous!$P$42*Population!AA$211+Exogenous!$P$43*Population!AA$214+Exogenous!$P$44*Population!AA$217+Exogenous!$P$45*Population!AA$218+Exogenous!$P$46*Population!AA$223)*(1+T$30))</f>
        <v>1.3887482176977985</v>
      </c>
      <c r="U174" s="6">
        <f ca="1">IF(OFFSET(Assumptions!$B$50,0,$C$1)="Yes",IF(U$6=OFFSET(Assumptions!$B$8,0,$C$1),AVERAGE(R$174/SUM(R$172:R$174),S$174/SUM(S$172:S$174),T$174/SUM(T$172:T$174)),T$174/SUM(T$172:T$174))*U$13*(SUM(T$172:T$174)/T$13+MIN(ABS(OFFSET(Assumptions!$B$51,0,$C$1)-SUM(T$172:T$174)/T$13),OFFSET(Assumptions!$B$58,0,$C$1))*SIGN(OFFSET(Assumptions!$B$51,0,$C$1)-SUM(T$172:T$174)/T$13)),T$174*(1+Exogenous!$P$41*Population!AB$209+Exogenous!$P$42*Population!AB$211+Exogenous!$P$43*Population!AB$214+Exogenous!$P$44*Population!AB$217+Exogenous!$P$45*Population!AB$218+Exogenous!$P$46*Population!AB$223)*(1+U$30))</f>
        <v>1.420408318406394</v>
      </c>
    </row>
    <row r="175" spans="1:21" x14ac:dyDescent="0.2">
      <c r="A175" s="1" t="s">
        <v>468</v>
      </c>
      <c r="B175" s="4" t="str">
        <f t="shared" si="107"/>
        <v>From Fiscal</v>
      </c>
      <c r="D175" s="14">
        <f>'Fiscal Forecasts'!D$231</f>
        <v>2.403</v>
      </c>
      <c r="E175" s="14">
        <f>'Fiscal Forecasts'!E$231</f>
        <v>2.3519999999999999</v>
      </c>
      <c r="F175" s="14">
        <f>'Fiscal Forecasts'!F$231</f>
        <v>2.319</v>
      </c>
      <c r="G175" s="15">
        <f>'Fiscal Forecasts'!G$231 +IF($C$2="Yes",'Fiscal Forecast Adjuster'!C$19/1000,0)</f>
        <v>2.2709999999999999</v>
      </c>
      <c r="H175" s="15">
        <f>'Fiscal Forecasts'!H$231 +IF($C$2="Yes",'Fiscal Forecast Adjuster'!D$19/1000,0)</f>
        <v>3.1880000000000002</v>
      </c>
      <c r="I175" s="15">
        <f>'Fiscal Forecasts'!I$231 +IF($C$2="Yes",'Fiscal Forecast Adjuster'!E$19/1000,0)</f>
        <v>3.1030000000000002</v>
      </c>
      <c r="J175" s="15">
        <f>'Fiscal Forecasts'!J$231 +IF($C$2="Yes",'Fiscal Forecast Adjuster'!F$19/1000,0)</f>
        <v>3.069</v>
      </c>
      <c r="K175" s="15">
        <f>'Fiscal Forecasts'!K$231 +IF($C$2="Yes",'Fiscal Forecast Adjuster'!G$19/1000,0)</f>
        <v>3.0739999999999998</v>
      </c>
      <c r="L175" s="6">
        <f ca="1">IF(OFFSET(Assumptions!$B$55,0,$C$1)="Yes",L$13*(K$175/K$13+MIN(ABS(OFFSET(Assumptions!$B$56,0,$C$1)-K$175/K$13),OFFSET(Assumptions!$B$58,0,$C$1))*SIGN(OFFSET(Assumptions!$B$56,0,$C$1)-K$175/K$13)),K$175*(1+L$20)*(1+L$30))</f>
        <v>3.1706076302075155</v>
      </c>
      <c r="M175" s="6">
        <f ca="1">IF(OFFSET(Assumptions!$B$55,0,$C$1)="Yes",M$13*(L$175/L$13+MIN(ABS(OFFSET(Assumptions!$B$56,0,$C$1)-L$175/L$13),OFFSET(Assumptions!$B$58,0,$C$1))*SIGN(OFFSET(Assumptions!$B$56,0,$C$1)-L$175/L$13)),L$175*(1+M$20)*(1+M$30))</f>
        <v>3.2693863445388591</v>
      </c>
      <c r="N175" s="6">
        <f ca="1">IF(OFFSET(Assumptions!$B$55,0,$C$1)="Yes",N$13*(M$175/M$13+MIN(ABS(OFFSET(Assumptions!$B$56,0,$C$1)-M$175/M$13),OFFSET(Assumptions!$B$58,0,$C$1))*SIGN(OFFSET(Assumptions!$B$56,0,$C$1)-M$175/M$13)),M$175*(1+N$20)*(1+N$30))</f>
        <v>3.3713523841312796</v>
      </c>
      <c r="O175" s="6">
        <f ca="1">IF(OFFSET(Assumptions!$B$55,0,$C$1)="Yes",O$13*(N$175/N$13+MIN(ABS(OFFSET(Assumptions!$B$56,0,$C$1)-N$175/N$13),OFFSET(Assumptions!$B$58,0,$C$1))*SIGN(OFFSET(Assumptions!$B$56,0,$C$1)-N$175/N$13)),N$175*(1+O$20)*(1+O$30))</f>
        <v>3.4747467661055866</v>
      </c>
      <c r="P175" s="6">
        <f ca="1">IF(OFFSET(Assumptions!$B$55,0,$C$1)="Yes",P$13*(O$175/O$13+MIN(ABS(OFFSET(Assumptions!$B$56,0,$C$1)-O$175/O$13),OFFSET(Assumptions!$B$58,0,$C$1))*SIGN(OFFSET(Assumptions!$B$56,0,$C$1)-O$175/O$13)),O$175*(1+P$20)*(1+P$30))</f>
        <v>3.5795343869277492</v>
      </c>
      <c r="Q175" s="6">
        <f ca="1">IF(OFFSET(Assumptions!$B$55,0,$C$1)="Yes",Q$13*(P$175/P$13+MIN(ABS(OFFSET(Assumptions!$B$56,0,$C$1)-P$175/P$13),OFFSET(Assumptions!$B$58,0,$C$1))*SIGN(OFFSET(Assumptions!$B$56,0,$C$1)-P$175/P$13)),P$175*(1+Q$20)*(1+Q$30))</f>
        <v>3.6860781172682571</v>
      </c>
      <c r="R175" s="6">
        <f ca="1">IF(OFFSET(Assumptions!$B$55,0,$C$1)="Yes",R$13*(Q$175/Q$13+MIN(ABS(OFFSET(Assumptions!$B$56,0,$C$1)-Q$175/Q$13),OFFSET(Assumptions!$B$58,0,$C$1))*SIGN(OFFSET(Assumptions!$B$56,0,$C$1)-Q$175/Q$13)),Q$175*(1+R$20)*(1+R$30))</f>
        <v>3.7933957512579921</v>
      </c>
      <c r="S175" s="6">
        <f ca="1">IF(OFFSET(Assumptions!$B$55,0,$C$1)="Yes",S$13*(R$175/R$13+MIN(ABS(OFFSET(Assumptions!$B$56,0,$C$1)-R$175/R$13),OFFSET(Assumptions!$B$58,0,$C$1))*SIGN(OFFSET(Assumptions!$B$56,0,$C$1)-R$175/R$13)),R$175*(1+S$20)*(1+S$30))</f>
        <v>3.9026266641140825</v>
      </c>
      <c r="T175" s="6">
        <f ca="1">IF(OFFSET(Assumptions!$B$55,0,$C$1)="Yes",T$13*(S$175/S$13+MIN(ABS(OFFSET(Assumptions!$B$56,0,$C$1)-S$175/S$13),OFFSET(Assumptions!$B$58,0,$C$1))*SIGN(OFFSET(Assumptions!$B$56,0,$C$1)-S$175/S$13)),S$175*(1+T$20)*(1+T$30))</f>
        <v>4.0139372505862303</v>
      </c>
      <c r="U175" s="6">
        <f ca="1">IF(OFFSET(Assumptions!$B$55,0,$C$1)="Yes",U$13*(T$175/T$13+MIN(ABS(OFFSET(Assumptions!$B$56,0,$C$1)-T$175/T$13),OFFSET(Assumptions!$B$58,0,$C$1))*SIGN(OFFSET(Assumptions!$B$56,0,$C$1)-T$175/T$13)),T$175*(1+U$20)*(1+U$30))</f>
        <v>4.1280758358191196</v>
      </c>
    </row>
    <row r="176" spans="1:21" x14ac:dyDescent="0.2">
      <c r="A176" s="1" t="s">
        <v>470</v>
      </c>
      <c r="B176" s="4" t="str">
        <f t="shared" si="107"/>
        <v>From Fiscal</v>
      </c>
      <c r="D176" s="14">
        <f>'Fiscal Forecasts'!D$232</f>
        <v>3.464</v>
      </c>
      <c r="E176" s="14">
        <f>'Fiscal Forecasts'!E$232</f>
        <v>3.6280000000000001</v>
      </c>
      <c r="F176" s="14">
        <f>'Fiscal Forecasts'!F$232</f>
        <v>3.7850000000000001</v>
      </c>
      <c r="G176" s="15">
        <f>'Fiscal Forecasts'!G$232 +IF($C$2="Yes",'Fiscal Forecast Adjuster'!C$20/1000,0)</f>
        <v>4.09</v>
      </c>
      <c r="H176" s="15">
        <f>'Fiscal Forecasts'!H$232 +IF($C$2="Yes",'Fiscal Forecast Adjuster'!D$20/1000,0)</f>
        <v>5.05</v>
      </c>
      <c r="I176" s="15">
        <f>'Fiscal Forecasts'!I$232 +IF($C$2="Yes",'Fiscal Forecast Adjuster'!E$20/1000,0)</f>
        <v>5.29</v>
      </c>
      <c r="J176" s="15">
        <f>'Fiscal Forecasts'!J$232 +IF($C$2="Yes",'Fiscal Forecast Adjuster'!F$20/1000,0)</f>
        <v>5.609</v>
      </c>
      <c r="K176" s="15">
        <f>'Fiscal Forecasts'!K$232 +IF($C$2="Yes",'Fiscal Forecast Adjuster'!G$20/1000,0)</f>
        <v>5.8760000000000003</v>
      </c>
      <c r="L176" s="6">
        <f ca="1">IF(OFFSET(Assumptions!$B$55,0,$C$1)="Yes",L$13*(K$176/K$13+MIN(ABS(OFFSET(Assumptions!$B$57,0,$C$1)-K$176/K$13),OFFSET(Assumptions!$B$58,0,$C$1))*SIGN(OFFSET(Assumptions!$B$57,0,$C$1)-K$176/K$13)),K$176*(1+L$20)*(1+L$30))</f>
        <v>6.0606670250811199</v>
      </c>
      <c r="M176" s="6">
        <f ca="1">IF(OFFSET(Assumptions!$B$55,0,$C$1)="Yes",M$13*(L$176/L$13+MIN(ABS(OFFSET(Assumptions!$B$57,0,$C$1)-L$176/L$13),OFFSET(Assumptions!$B$58,0,$C$1))*SIGN(OFFSET(Assumptions!$B$57,0,$C$1)-L$176/L$13)),L$176*(1+M$20)*(1+M$30))</f>
        <v>6.2494841120723281</v>
      </c>
      <c r="N176" s="6">
        <f ca="1">IF(OFFSET(Assumptions!$B$55,0,$C$1)="Yes",N$13*(M$176/M$13+MIN(ABS(OFFSET(Assumptions!$B$57,0,$C$1)-M$176/M$13),OFFSET(Assumptions!$B$58,0,$C$1))*SIGN(OFFSET(Assumptions!$B$57,0,$C$1)-M$176/M$13)),M$176*(1+N$20)*(1+N$30))</f>
        <v>6.4443938221065062</v>
      </c>
      <c r="O176" s="6">
        <f ca="1">IF(OFFSET(Assumptions!$B$55,0,$C$1)="Yes",O$13*(N$176/N$13+MIN(ABS(OFFSET(Assumptions!$B$57,0,$C$1)-N$176/N$13),OFFSET(Assumptions!$B$58,0,$C$1))*SIGN(OFFSET(Assumptions!$B$57,0,$C$1)-N$176/N$13)),N$176*(1+O$20)*(1+O$30))</f>
        <v>6.6420338313716423</v>
      </c>
      <c r="P176" s="6">
        <f ca="1">IF(OFFSET(Assumptions!$B$55,0,$C$1)="Yes",P$13*(O$176/O$13+MIN(ABS(OFFSET(Assumptions!$B$57,0,$C$1)-O$176/O$13),OFFSET(Assumptions!$B$58,0,$C$1))*SIGN(OFFSET(Assumptions!$B$57,0,$C$1)-O$176/O$13)),O$176*(1+P$20)*(1+P$30))</f>
        <v>6.8423370389028806</v>
      </c>
      <c r="Q176" s="6">
        <f ca="1">IF(OFFSET(Assumptions!$B$55,0,$C$1)="Yes",Q$13*(P$176/P$13+MIN(ABS(OFFSET(Assumptions!$B$57,0,$C$1)-P$176/P$13),OFFSET(Assumptions!$B$58,0,$C$1))*SIGN(OFFSET(Assumptions!$B$57,0,$C$1)-P$176/P$13)),P$176*(1+Q$20)*(1+Q$30))</f>
        <v>7.0459970777710739</v>
      </c>
      <c r="R176" s="6">
        <f ca="1">IF(OFFSET(Assumptions!$B$55,0,$C$1)="Yes",R$13*(Q$176/Q$13+MIN(ABS(OFFSET(Assumptions!$B$57,0,$C$1)-Q$176/Q$13),OFFSET(Assumptions!$B$58,0,$C$1))*SIGN(OFFSET(Assumptions!$B$57,0,$C$1)-Q$176/Q$13)),Q$176*(1+R$20)*(1+R$30))</f>
        <v>7.2511364458008991</v>
      </c>
      <c r="S176" s="6">
        <f ca="1">IF(OFFSET(Assumptions!$B$55,0,$C$1)="Yes",S$13*(R$176/R$13+MIN(ABS(OFFSET(Assumptions!$B$57,0,$C$1)-R$176/R$13),OFFSET(Assumptions!$B$58,0,$C$1))*SIGN(OFFSET(Assumptions!$B$57,0,$C$1)-R$176/R$13)),R$176*(1+S$20)*(1+S$30))</f>
        <v>7.4599330768817014</v>
      </c>
      <c r="T176" s="6">
        <f ca="1">IF(OFFSET(Assumptions!$B$55,0,$C$1)="Yes",T$13*(S$176/S$13+MIN(ABS(OFFSET(Assumptions!$B$57,0,$C$1)-S$176/S$13),OFFSET(Assumptions!$B$58,0,$C$1))*SIGN(OFFSET(Assumptions!$B$57,0,$C$1)-S$176/S$13)),S$176*(1+T$20)*(1+T$30))</f>
        <v>7.6727050372298917</v>
      </c>
      <c r="U176" s="6">
        <f ca="1">IF(OFFSET(Assumptions!$B$55,0,$C$1)="Yes",U$13*(T$176/T$13+MIN(ABS(OFFSET(Assumptions!$B$57,0,$C$1)-T$176/T$13),OFFSET(Assumptions!$B$58,0,$C$1))*SIGN(OFFSET(Assumptions!$B$57,0,$C$1)-T$176/T$13)),T$176*(1+U$20)*(1+U$30))</f>
        <v>7.8908827622879443</v>
      </c>
    </row>
    <row r="177" spans="1:21" ht="15" x14ac:dyDescent="0.25">
      <c r="A177" s="2" t="s">
        <v>472</v>
      </c>
      <c r="B177" s="4"/>
      <c r="D177" s="34">
        <f t="shared" ref="D177:U177" si="108">SUM(D$171:D$176)</f>
        <v>21.842999999999996</v>
      </c>
      <c r="E177" s="34">
        <f t="shared" si="108"/>
        <v>22.593999999999998</v>
      </c>
      <c r="F177" s="34">
        <f t="shared" si="108"/>
        <v>23.535999999999998</v>
      </c>
      <c r="G177" s="33">
        <f t="shared" si="108"/>
        <v>24.406000000000002</v>
      </c>
      <c r="H177" s="33">
        <f t="shared" si="108"/>
        <v>27.128</v>
      </c>
      <c r="I177" s="33">
        <f t="shared" si="108"/>
        <v>28.155999999999999</v>
      </c>
      <c r="J177" s="33">
        <f t="shared" si="108"/>
        <v>29.302</v>
      </c>
      <c r="K177" s="33">
        <f t="shared" si="108"/>
        <v>30.628000000000004</v>
      </c>
      <c r="L177" s="37">
        <f t="shared" ca="1" si="108"/>
        <v>31.968499012974597</v>
      </c>
      <c r="M177" s="37">
        <f t="shared" ca="1" si="108"/>
        <v>33.624670870211986</v>
      </c>
      <c r="N177" s="37">
        <f t="shared" ca="1" si="108"/>
        <v>35.402812821195084</v>
      </c>
      <c r="O177" s="37">
        <f t="shared" ca="1" si="108"/>
        <v>37.299801960812552</v>
      </c>
      <c r="P177" s="37">
        <f t="shared" ca="1" si="108"/>
        <v>39.293391891001434</v>
      </c>
      <c r="Q177" s="37">
        <f t="shared" ca="1" si="108"/>
        <v>41.367337282545279</v>
      </c>
      <c r="R177" s="37">
        <f t="shared" ca="1" si="108"/>
        <v>43.492934568684745</v>
      </c>
      <c r="S177" s="37">
        <f t="shared" ca="1" si="108"/>
        <v>45.638168741715312</v>
      </c>
      <c r="T177" s="37">
        <f t="shared" ca="1" si="108"/>
        <v>47.845963606959934</v>
      </c>
      <c r="U177" s="37">
        <f t="shared" ca="1" si="108"/>
        <v>50.135118569484248</v>
      </c>
    </row>
    <row r="178" spans="1:21" x14ac:dyDescent="0.2">
      <c r="A178" s="1" t="s">
        <v>293</v>
      </c>
      <c r="B178" s="4" t="str">
        <f t="shared" si="107"/>
        <v>From Fiscal</v>
      </c>
      <c r="D178" s="14">
        <f>'Fiscal Forecasts'!D$233</f>
        <v>0.51100000000000001</v>
      </c>
      <c r="E178" s="14">
        <f>'Fiscal Forecasts'!E$233</f>
        <v>0.48599999999999999</v>
      </c>
      <c r="F178" s="14">
        <f>'Fiscal Forecasts'!F$233</f>
        <v>0.46500000000000002</v>
      </c>
      <c r="G178" s="15">
        <f>'Fiscal Forecasts'!G$233 +IF($C$2="Yes",'Fiscal Forecast Adjuster'!C$21/1000,0)</f>
        <v>0.50900000000000001</v>
      </c>
      <c r="H178" s="15">
        <f>'Fiscal Forecasts'!H$233 +IF($C$2="Yes",'Fiscal Forecast Adjuster'!D$21/1000,0)</f>
        <v>0.58099999999999996</v>
      </c>
      <c r="I178" s="15">
        <f>'Fiscal Forecasts'!I$233 +IF($C$2="Yes",'Fiscal Forecast Adjuster'!E$21/1000,0)</f>
        <v>0.59</v>
      </c>
      <c r="J178" s="15">
        <f>'Fiscal Forecasts'!J$233 +IF($C$2="Yes",'Fiscal Forecast Adjuster'!F$21/1000,0)</f>
        <v>0.60799999999999998</v>
      </c>
      <c r="K178" s="15">
        <f>'Fiscal Forecasts'!K$233 +IF($C$2="Yes",'Fiscal Forecast Adjuster'!G$21/1000,0)</f>
        <v>0.626</v>
      </c>
      <c r="L178" s="6">
        <f ca="1">IF(OFFSET(Assumptions!$B$50,0,$C$1)="Yes",L$13*(K$178/K$13+MIN(ABS(OFFSET(Assumptions!$B$52,0,$C$1)-K$178/K$13),OFFSET(Assumptions!$B$58,0,$C$1))*SIGN(OFFSET(Assumptions!$B$52,0,$C$1)-K$178/K$13)),K$178*(1+L$20)*(1+L$30))</f>
        <v>0.64567351220231128</v>
      </c>
      <c r="M178" s="6">
        <f ca="1">IF(OFFSET(Assumptions!$B$50,0,$C$1)="Yes",M$13*(L$178/L$13+MIN(ABS(OFFSET(Assumptions!$B$52,0,$C$1)-L$178/L$13),OFFSET(Assumptions!$B$58,0,$C$1))*SIGN(OFFSET(Assumptions!$B$52,0,$C$1)-L$178/L$13)),L$178*(1+M$20)*(1+M$30))</f>
        <v>0.66578915149034679</v>
      </c>
      <c r="N178" s="6">
        <f ca="1">IF(OFFSET(Assumptions!$B$50,0,$C$1)="Yes",N$13*(M$178/M$13+MIN(ABS(OFFSET(Assumptions!$B$52,0,$C$1)-M$178/M$13),OFFSET(Assumptions!$B$58,0,$C$1))*SIGN(OFFSET(Assumptions!$B$52,0,$C$1)-M$178/M$13)),M$178*(1+N$20)*(1+N$30))</f>
        <v>0.68655386872679935</v>
      </c>
      <c r="O178" s="6">
        <f ca="1">IF(OFFSET(Assumptions!$B$50,0,$C$1)="Yes",O$13*(N$178/N$13+MIN(ABS(OFFSET(Assumptions!$B$52,0,$C$1)-N$178/N$13),OFFSET(Assumptions!$B$58,0,$C$1))*SIGN(OFFSET(Assumptions!$B$52,0,$C$1)-N$178/N$13)),N$178*(1+O$20)*(1+O$30))</f>
        <v>0.70760945854980395</v>
      </c>
      <c r="P178" s="6">
        <f ca="1">IF(OFFSET(Assumptions!$B$50,0,$C$1)="Yes",P$13*(O$178/O$13+MIN(ABS(OFFSET(Assumptions!$B$52,0,$C$1)-O$178/O$13),OFFSET(Assumptions!$B$58,0,$C$1))*SIGN(OFFSET(Assumptions!$B$52,0,$C$1)-O$178/O$13)),O$178*(1+P$20)*(1+P$30))</f>
        <v>0.72894877235418698</v>
      </c>
      <c r="Q178" s="6">
        <f ca="1">IF(OFFSET(Assumptions!$B$50,0,$C$1)="Yes",Q$13*(P$178/P$13+MIN(ABS(OFFSET(Assumptions!$B$52,0,$C$1)-P$178/P$13),OFFSET(Assumptions!$B$58,0,$C$1))*SIGN(OFFSET(Assumptions!$B$52,0,$C$1)-P$178/P$13)),P$178*(1+Q$20)*(1+Q$30))</f>
        <v>0.75064570637928718</v>
      </c>
      <c r="R178" s="6">
        <f ca="1">IF(OFFSET(Assumptions!$B$50,0,$C$1)="Yes",R$13*(Q$178/Q$13+MIN(ABS(OFFSET(Assumptions!$B$52,0,$C$1)-Q$178/Q$13),OFFSET(Assumptions!$B$58,0,$C$1))*SIGN(OFFSET(Assumptions!$B$52,0,$C$1)-Q$178/Q$13)),Q$178*(1+R$20)*(1+R$30))</f>
        <v>0.77250024082221957</v>
      </c>
      <c r="S178" s="6">
        <f ca="1">IF(OFFSET(Assumptions!$B$50,0,$C$1)="Yes",S$13*(R$178/R$13+MIN(ABS(OFFSET(Assumptions!$B$52,0,$C$1)-R$178/R$13),OFFSET(Assumptions!$B$58,0,$C$1))*SIGN(OFFSET(Assumptions!$B$52,0,$C$1)-R$178/R$13)),R$178*(1+S$20)*(1+S$30))</f>
        <v>0.79474440199590624</v>
      </c>
      <c r="T178" s="6">
        <f ca="1">IF(OFFSET(Assumptions!$B$50,0,$C$1)="Yes",T$13*(S$178/S$13+MIN(ABS(OFFSET(Assumptions!$B$52,0,$C$1)-S$178/S$13),OFFSET(Assumptions!$B$58,0,$C$1))*SIGN(OFFSET(Assumptions!$B$52,0,$C$1)-S$178/S$13)),S$178*(1+T$20)*(1+T$30))</f>
        <v>0.81741207510311642</v>
      </c>
      <c r="U178" s="6">
        <f ca="1">IF(OFFSET(Assumptions!$B$50,0,$C$1)="Yes",U$13*(T$178/T$13+MIN(ABS(OFFSET(Assumptions!$B$52,0,$C$1)-T$178/T$13),OFFSET(Assumptions!$B$58,0,$C$1))*SIGN(OFFSET(Assumptions!$B$52,0,$C$1)-T$178/T$13)),T$178*(1+U$20)*(1+U$30))</f>
        <v>0.84065565166648282</v>
      </c>
    </row>
    <row r="179" spans="1:21" ht="15" x14ac:dyDescent="0.25">
      <c r="A179" s="2" t="s">
        <v>473</v>
      </c>
      <c r="D179" s="34">
        <f t="shared" ref="D179:U179" si="109">SUM(D$177:D$178)</f>
        <v>22.353999999999996</v>
      </c>
      <c r="E179" s="34">
        <f t="shared" si="109"/>
        <v>23.08</v>
      </c>
      <c r="F179" s="34">
        <f t="shared" si="109"/>
        <v>24.000999999999998</v>
      </c>
      <c r="G179" s="33">
        <f t="shared" si="109"/>
        <v>24.915000000000003</v>
      </c>
      <c r="H179" s="33">
        <f t="shared" si="109"/>
        <v>27.709</v>
      </c>
      <c r="I179" s="33">
        <f t="shared" si="109"/>
        <v>28.745999999999999</v>
      </c>
      <c r="J179" s="33">
        <f t="shared" si="109"/>
        <v>29.91</v>
      </c>
      <c r="K179" s="33">
        <f t="shared" si="109"/>
        <v>31.254000000000005</v>
      </c>
      <c r="L179" s="37">
        <f t="shared" ca="1" si="109"/>
        <v>32.614172525176912</v>
      </c>
      <c r="M179" s="37">
        <f t="shared" ca="1" si="109"/>
        <v>34.29046002170233</v>
      </c>
      <c r="N179" s="37">
        <f t="shared" ca="1" si="109"/>
        <v>36.089366689921881</v>
      </c>
      <c r="O179" s="37">
        <f t="shared" ca="1" si="109"/>
        <v>38.007411419362356</v>
      </c>
      <c r="P179" s="37">
        <f t="shared" ca="1" si="109"/>
        <v>40.022340663355621</v>
      </c>
      <c r="Q179" s="37">
        <f t="shared" ca="1" si="109"/>
        <v>42.117982988924567</v>
      </c>
      <c r="R179" s="37">
        <f t="shared" ca="1" si="109"/>
        <v>44.265434809506964</v>
      </c>
      <c r="S179" s="37">
        <f t="shared" ca="1" si="109"/>
        <v>46.432913143711218</v>
      </c>
      <c r="T179" s="37">
        <f t="shared" ca="1" si="109"/>
        <v>48.663375682063048</v>
      </c>
      <c r="U179" s="37">
        <f t="shared" ca="1" si="109"/>
        <v>50.975774221150729</v>
      </c>
    </row>
    <row r="180" spans="1:21" x14ac:dyDescent="0.2">
      <c r="A180" s="1" t="s">
        <v>474</v>
      </c>
      <c r="B180" s="4" t="str">
        <f t="shared" si="107"/>
        <v>From Fiscal</v>
      </c>
      <c r="D180" s="14">
        <f>'Fiscal Forecasts'!D$234</f>
        <v>0.85599999999999998</v>
      </c>
      <c r="E180" s="14">
        <f>'Fiscal Forecasts'!E$234</f>
        <v>0.69799999999999995</v>
      </c>
      <c r="F180" s="14">
        <f>'Fiscal Forecasts'!F$234</f>
        <v>0.74299999999999999</v>
      </c>
      <c r="G180" s="15">
        <f>'Fiscal Forecasts'!G$234 +IF($C$2="Yes",'Fiscal Forecast Adjuster'!C$22/1000,0)</f>
        <v>0.83</v>
      </c>
      <c r="H180" s="15">
        <f>'Fiscal Forecasts'!H$234 +IF($C$2="Yes",'Fiscal Forecast Adjuster'!D$22/1000,0)</f>
        <v>0.86</v>
      </c>
      <c r="I180" s="15">
        <f>'Fiscal Forecasts'!I$234 +IF($C$2="Yes",'Fiscal Forecast Adjuster'!E$22/1000,0)</f>
        <v>0.90100000000000002</v>
      </c>
      <c r="J180" s="15">
        <f>'Fiscal Forecasts'!J$234 +IF($C$2="Yes",'Fiscal Forecast Adjuster'!F$22/1000,0)</f>
        <v>0.94299999999999995</v>
      </c>
      <c r="K180" s="15">
        <f>'Fiscal Forecasts'!K$234 +IF($C$2="Yes",'Fiscal Forecast Adjuster'!G$22/1000,0)</f>
        <v>0.98199999999999998</v>
      </c>
      <c r="L180" s="6">
        <f ca="1">IF(L$6&lt;=OFFSET(Assumptions!$B$60,0,$C$1),IF($C$2="Yes",Exogenous!S$37,Exogenous!S$36),K$180*(1+L$14))</f>
        <v>1.0169999999999999</v>
      </c>
      <c r="M180" s="6">
        <f ca="1">IF(M$6&lt;=OFFSET(Assumptions!$B$60,0,$C$1),IF($C$2="Yes",Exogenous!T$37,Exogenous!T$36),L$180*(1+M$14))</f>
        <v>1.052</v>
      </c>
      <c r="N180" s="6">
        <f ca="1">IF(N$6&lt;=OFFSET(Assumptions!$B$60,0,$C$1),IF($C$2="Yes",Exogenous!U$37,Exogenous!U$36),M$180*(1+N$14))</f>
        <v>1.085</v>
      </c>
      <c r="O180" s="6">
        <f ca="1">IF(O$6&lt;=OFFSET(Assumptions!$B$60,0,$C$1),IF($C$2="Yes",Exogenous!V$37,Exogenous!V$36),N$180*(1+O$14))</f>
        <v>1.1180000000000001</v>
      </c>
      <c r="P180" s="6">
        <f ca="1">IF(P$6&lt;=OFFSET(Assumptions!$B$60,0,$C$1),IF($C$2="Yes",Exogenous!W$37,Exogenous!W$36),O$180*(1+P$14))</f>
        <v>1.147</v>
      </c>
      <c r="Q180" s="6">
        <f ca="1">IF(Q$6&lt;=OFFSET(Assumptions!$B$60,0,$C$1),IF($C$2="Yes",Exogenous!X$37,Exogenous!X$36),P$180*(1+Q$14))</f>
        <v>1.1739999999999999</v>
      </c>
      <c r="R180" s="6">
        <f ca="1">IF(R$6&lt;=OFFSET(Assumptions!$B$60,0,$C$1),IF($C$2="Yes",Exogenous!Y$37,Exogenous!Y$36),Q$180*(1+R$14))</f>
        <v>1.198</v>
      </c>
      <c r="S180" s="6">
        <f ca="1">IF(S$6&lt;=OFFSET(Assumptions!$B$60,0,$C$1),IF($C$2="Yes",Exogenous!Z$37,Exogenous!Z$36),R$180*(1+S$14))</f>
        <v>1.2210000000000001</v>
      </c>
      <c r="T180" s="6">
        <f ca="1">IF(T$6&lt;=OFFSET(Assumptions!$B$60,0,$C$1),IF($C$2="Yes",Exogenous!AA$37,Exogenous!AA$36),S$180*(1+T$14))</f>
        <v>1.244</v>
      </c>
      <c r="U180" s="6">
        <f ca="1">IF(U$6&lt;=OFFSET(Assumptions!$B$60,0,$C$1),IF($C$2="Yes",Exogenous!AB$37,Exogenous!AB$36),T$180*(1+U$14))</f>
        <v>1.266</v>
      </c>
    </row>
    <row r="181" spans="1:21" x14ac:dyDescent="0.2">
      <c r="A181" s="1" t="s">
        <v>296</v>
      </c>
      <c r="B181" s="4" t="str">
        <f t="shared" si="107"/>
        <v>From Fiscal</v>
      </c>
      <c r="D181" s="14">
        <f>'Fiscal Forecasts'!D$235</f>
        <v>0.51300000000000001</v>
      </c>
      <c r="E181" s="14">
        <f>'Fiscal Forecasts'!E$235</f>
        <v>0.53400000000000003</v>
      </c>
      <c r="F181" s="14">
        <f>'Fiscal Forecasts'!F$235</f>
        <v>0.52</v>
      </c>
      <c r="G181" s="15">
        <f>'Fiscal Forecasts'!G$235</f>
        <v>0.64700000000000002</v>
      </c>
      <c r="H181" s="15">
        <f>'Fiscal Forecasts'!H$235</f>
        <v>0.69299999999999995</v>
      </c>
      <c r="I181" s="15">
        <f>'Fiscal Forecasts'!I$235</f>
        <v>0.73</v>
      </c>
      <c r="J181" s="15">
        <f>'Fiscal Forecasts'!J$235</f>
        <v>0.76400000000000001</v>
      </c>
      <c r="K181" s="15">
        <f>'Fiscal Forecasts'!K$235</f>
        <v>0.79800000000000004</v>
      </c>
      <c r="L181" s="6">
        <f ca="1">(K$181/K$13+MIN(ABS(OFFSET(Assumptions!$B$61,0,$C$1)-K$181/K$13),OFFSET(Assumptions!$B$58,0,$C$1))*SIGN(OFFSET(Assumptions!$B$61,0,$C$1)-K$181/K$13))*L$13</f>
        <v>0.73239262588353926</v>
      </c>
      <c r="M181" s="6">
        <f ca="1">(L$181/L$13+MIN(ABS(OFFSET(Assumptions!$B$61,0,$C$1)-L$181/L$13),OFFSET(Assumptions!$B$58,0,$C$1))*SIGN(OFFSET(Assumptions!$B$61,0,$C$1)-L$181/L$13))*M$13</f>
        <v>0.76578675141379471</v>
      </c>
      <c r="N181" s="6">
        <f ca="1">(M$181/M$13+MIN(ABS(OFFSET(Assumptions!$B$61,0,$C$1)-M$181/M$13),OFFSET(Assumptions!$B$58,0,$C$1))*SIGN(OFFSET(Assumptions!$B$61,0,$C$1)-M$181/M$13))*N$13</f>
        <v>0.79990891436539968</v>
      </c>
      <c r="O181" s="6">
        <f ca="1">(N$181/N$13+MIN(ABS(OFFSET(Assumptions!$B$61,0,$C$1)-N$181/N$13),OFFSET(Assumptions!$B$58,0,$C$1))*SIGN(OFFSET(Assumptions!$B$61,0,$C$1)-N$181/N$13))*O$13</f>
        <v>0.8349048070082582</v>
      </c>
      <c r="P181" s="6">
        <f ca="1">(O$181/O$13+MIN(ABS(OFFSET(Assumptions!$B$61,0,$C$1)-O$181/O$13),OFFSET(Assumptions!$B$58,0,$C$1))*SIGN(OFFSET(Assumptions!$B$61,0,$C$1)-O$181/O$13))*P$13</f>
        <v>0.87108909066176188</v>
      </c>
      <c r="Q181" s="6">
        <f ca="1">(P$181/P$13+MIN(ABS(OFFSET(Assumptions!$B$61,0,$C$1)-P$181/P$13),OFFSET(Assumptions!$B$58,0,$C$1))*SIGN(OFFSET(Assumptions!$B$61,0,$C$1)-P$181/P$13))*Q$13</f>
        <v>0.90851940800276665</v>
      </c>
      <c r="R181" s="6">
        <f ca="1">(Q$181/Q$13+MIN(ABS(OFFSET(Assumptions!$B$61,0,$C$1)-Q$181/Q$13),OFFSET(Assumptions!$B$58,0,$C$1))*SIGN(OFFSET(Assumptions!$B$61,0,$C$1)-Q$181/Q$13))*R$13</f>
        <v>0.94713135391911396</v>
      </c>
      <c r="S181" s="6">
        <f ca="1">(R$181/R$13+MIN(ABS(OFFSET(Assumptions!$B$61,0,$C$1)-R$181/R$13),OFFSET(Assumptions!$B$58,0,$C$1))*SIGN(OFFSET(Assumptions!$B$61,0,$C$1)-R$181/R$13))*S$13</f>
        <v>0.98703992574919575</v>
      </c>
      <c r="T181" s="6">
        <f ca="1">(S$181/S$13+MIN(ABS(OFFSET(Assumptions!$B$61,0,$C$1)-S$181/S$13),OFFSET(Assumptions!$B$58,0,$C$1))*SIGN(OFFSET(Assumptions!$B$61,0,$C$1)-S$181/S$13))*T$13</f>
        <v>1.0282814394581155</v>
      </c>
      <c r="U181" s="6">
        <f ca="1">(T$181/T$13+MIN(ABS(OFFSET(Assumptions!$B$61,0,$C$1)-T$181/T$13),OFFSET(Assumptions!$B$58,0,$C$1))*SIGN(OFFSET(Assumptions!$B$61,0,$C$1)-T$181/T$13))*U$13</f>
        <v>1.0709805657224649</v>
      </c>
    </row>
    <row r="182" spans="1:21" ht="15" x14ac:dyDescent="0.25">
      <c r="A182" s="2" t="s">
        <v>475</v>
      </c>
      <c r="D182" s="34">
        <f t="shared" ref="D182:U182" si="110">SUM(D$179:D$181)</f>
        <v>23.722999999999999</v>
      </c>
      <c r="E182" s="34">
        <f t="shared" si="110"/>
        <v>24.311999999999998</v>
      </c>
      <c r="F182" s="34">
        <f t="shared" si="110"/>
        <v>25.263999999999996</v>
      </c>
      <c r="G182" s="33">
        <f t="shared" si="110"/>
        <v>26.391999999999999</v>
      </c>
      <c r="H182" s="33">
        <f t="shared" si="110"/>
        <v>29.262</v>
      </c>
      <c r="I182" s="33">
        <f t="shared" si="110"/>
        <v>30.376999999999999</v>
      </c>
      <c r="J182" s="33">
        <f t="shared" si="110"/>
        <v>31.617000000000001</v>
      </c>
      <c r="K182" s="33">
        <f t="shared" si="110"/>
        <v>33.034000000000006</v>
      </c>
      <c r="L182" s="37">
        <f t="shared" ca="1" si="110"/>
        <v>34.363565151060456</v>
      </c>
      <c r="M182" s="37">
        <f t="shared" ca="1" si="110"/>
        <v>36.108246773116122</v>
      </c>
      <c r="N182" s="37">
        <f t="shared" ca="1" si="110"/>
        <v>37.974275604287286</v>
      </c>
      <c r="O182" s="37">
        <f t="shared" ca="1" si="110"/>
        <v>39.960316226370615</v>
      </c>
      <c r="P182" s="37">
        <f t="shared" ca="1" si="110"/>
        <v>42.040429754017381</v>
      </c>
      <c r="Q182" s="37">
        <f t="shared" ca="1" si="110"/>
        <v>44.200502396927334</v>
      </c>
      <c r="R182" s="37">
        <f t="shared" ca="1" si="110"/>
        <v>46.410566163426076</v>
      </c>
      <c r="S182" s="37">
        <f t="shared" ca="1" si="110"/>
        <v>48.640953069460416</v>
      </c>
      <c r="T182" s="37">
        <f t="shared" ca="1" si="110"/>
        <v>50.93565712152116</v>
      </c>
      <c r="U182" s="37">
        <f t="shared" ca="1" si="110"/>
        <v>53.312754786873192</v>
      </c>
    </row>
    <row r="183" spans="1:21" ht="15" x14ac:dyDescent="0.25">
      <c r="A183" s="2" t="s">
        <v>477</v>
      </c>
      <c r="B183" s="4" t="str">
        <f t="shared" si="107"/>
        <v>From Fiscal</v>
      </c>
      <c r="D183" s="39">
        <f>'Fiscal Forecasts'!D$156</f>
        <v>23.722999999999999</v>
      </c>
      <c r="E183" s="39">
        <f>'Fiscal Forecasts'!E$156</f>
        <v>24.312000000000001</v>
      </c>
      <c r="F183" s="39">
        <f>'Fiscal Forecasts'!F$156</f>
        <v>25.263999999999999</v>
      </c>
      <c r="G183" s="38">
        <f>'Fiscal Forecasts'!G$156 +IF($C$2="Yes",SUM('Fiscal Forecast Adjuster'!C$15:C$22)/1000,0)</f>
        <v>26.391999999999999</v>
      </c>
      <c r="H183" s="38">
        <f>'Fiscal Forecasts'!H$156 +IF($C$2="Yes",SUM('Fiscal Forecast Adjuster'!D$15:D$22)/1000,0)</f>
        <v>29.262</v>
      </c>
      <c r="I183" s="38">
        <f>'Fiscal Forecasts'!I$156 +IF($C$2="Yes",SUM('Fiscal Forecast Adjuster'!E$15:E$22)/1000,0)</f>
        <v>30.376999999999999</v>
      </c>
      <c r="J183" s="38">
        <f>'Fiscal Forecasts'!J$156 +IF($C$2="Yes",SUM('Fiscal Forecast Adjuster'!F$15:F$22)/1000,0)</f>
        <v>31.617000000000001</v>
      </c>
      <c r="K183" s="38">
        <f>'Fiscal Forecasts'!K$156 +IF($C$2="Yes",SUM('Fiscal Forecast Adjuster'!G$15:G$22)/1000,0)</f>
        <v>33.033999999999999</v>
      </c>
      <c r="L183" s="7">
        <f t="shared" ref="L183:U183" ca="1" si="111">L$182</f>
        <v>34.363565151060456</v>
      </c>
      <c r="M183" s="7">
        <f t="shared" ca="1" si="111"/>
        <v>36.108246773116122</v>
      </c>
      <c r="N183" s="7">
        <f t="shared" ca="1" si="111"/>
        <v>37.974275604287286</v>
      </c>
      <c r="O183" s="7">
        <f t="shared" ca="1" si="111"/>
        <v>39.960316226370615</v>
      </c>
      <c r="P183" s="7">
        <f t="shared" ca="1" si="111"/>
        <v>42.040429754017381</v>
      </c>
      <c r="Q183" s="7">
        <f t="shared" ca="1" si="111"/>
        <v>44.200502396927334</v>
      </c>
      <c r="R183" s="7">
        <f t="shared" ca="1" si="111"/>
        <v>46.410566163426076</v>
      </c>
      <c r="S183" s="7">
        <f t="shared" ca="1" si="111"/>
        <v>48.640953069460416</v>
      </c>
      <c r="T183" s="7">
        <f t="shared" ca="1" si="111"/>
        <v>50.93565712152116</v>
      </c>
      <c r="U183" s="7">
        <f t="shared" ca="1" si="111"/>
        <v>53.312754786873192</v>
      </c>
    </row>
    <row r="184" spans="1:21" x14ac:dyDescent="0.2">
      <c r="A184" s="1" t="s">
        <v>478</v>
      </c>
      <c r="B184" s="4" t="str">
        <f t="shared" si="107"/>
        <v>From Fiscal</v>
      </c>
      <c r="D184" s="14">
        <f>'Fiscal Forecasts'!D$52-D$177</f>
        <v>1.6800000000000033</v>
      </c>
      <c r="E184" s="14">
        <f>'Fiscal Forecasts'!E$52-E$177</f>
        <v>1.4870000000000019</v>
      </c>
      <c r="F184" s="14">
        <f>'Fiscal Forecasts'!F$52-F$177</f>
        <v>1.7580000000000027</v>
      </c>
      <c r="G184" s="15">
        <f>'Fiscal Forecasts'!G$52-G$177 +IF($C$2="Yes",SUM('Fiscal Forecast Adjuster'!C$15:C$20)/1000,0)</f>
        <v>1.7039999999999971</v>
      </c>
      <c r="H184" s="15">
        <f>'Fiscal Forecasts'!H$52-H$177 +IF($C$2="Yes",SUM('Fiscal Forecast Adjuster'!D$15:D$20)/1000,0)</f>
        <v>1.8210000000000015</v>
      </c>
      <c r="I184" s="15">
        <f>'Fiscal Forecasts'!I$52-I$177 +IF($C$2="Yes",SUM('Fiscal Forecast Adjuster'!E$15:E$20)/1000,0)</f>
        <v>1.843</v>
      </c>
      <c r="J184" s="15">
        <f>'Fiscal Forecasts'!J$52-J$177 +IF($C$2="Yes",SUM('Fiscal Forecast Adjuster'!F$15:F$20)/1000,0)</f>
        <v>1.8670000000000009</v>
      </c>
      <c r="K184" s="15">
        <f>'Fiscal Forecasts'!K$52-K$177 +IF($C$2="Yes",SUM('Fiscal Forecast Adjuster'!G$15:G$20)/1000,0)</f>
        <v>1.8639999999999937</v>
      </c>
      <c r="L184" s="6">
        <f>K$184</f>
        <v>1.8639999999999937</v>
      </c>
      <c r="M184" s="6">
        <f t="shared" ref="M184:U184" si="112">L$184</f>
        <v>1.8639999999999937</v>
      </c>
      <c r="N184" s="6">
        <f t="shared" si="112"/>
        <v>1.8639999999999937</v>
      </c>
      <c r="O184" s="6">
        <f t="shared" si="112"/>
        <v>1.8639999999999937</v>
      </c>
      <c r="P184" s="6">
        <f t="shared" si="112"/>
        <v>1.8639999999999937</v>
      </c>
      <c r="Q184" s="6">
        <f t="shared" si="112"/>
        <v>1.8639999999999937</v>
      </c>
      <c r="R184" s="6">
        <f t="shared" si="112"/>
        <v>1.8639999999999937</v>
      </c>
      <c r="S184" s="6">
        <f t="shared" si="112"/>
        <v>1.8639999999999937</v>
      </c>
      <c r="T184" s="6">
        <f t="shared" si="112"/>
        <v>1.8639999999999937</v>
      </c>
      <c r="U184" s="6">
        <f t="shared" si="112"/>
        <v>1.8639999999999937</v>
      </c>
    </row>
    <row r="185" spans="1:21" ht="15" x14ac:dyDescent="0.25">
      <c r="A185" s="2" t="s">
        <v>479</v>
      </c>
      <c r="B185" s="4"/>
      <c r="D185" s="39">
        <f t="shared" ref="D185:U185" si="113">SUM(D$177,D$184)</f>
        <v>23.523</v>
      </c>
      <c r="E185" s="39">
        <f t="shared" si="113"/>
        <v>24.081</v>
      </c>
      <c r="F185" s="39">
        <f t="shared" si="113"/>
        <v>25.294</v>
      </c>
      <c r="G185" s="38">
        <f t="shared" si="113"/>
        <v>26.11</v>
      </c>
      <c r="H185" s="38">
        <f t="shared" si="113"/>
        <v>28.949000000000002</v>
      </c>
      <c r="I185" s="38">
        <f t="shared" si="113"/>
        <v>29.998999999999999</v>
      </c>
      <c r="J185" s="38">
        <f t="shared" si="113"/>
        <v>31.169</v>
      </c>
      <c r="K185" s="38">
        <f t="shared" si="113"/>
        <v>32.491999999999997</v>
      </c>
      <c r="L185" s="7">
        <f t="shared" ca="1" si="113"/>
        <v>33.832499012974594</v>
      </c>
      <c r="M185" s="7">
        <f t="shared" ca="1" si="113"/>
        <v>35.488670870211976</v>
      </c>
      <c r="N185" s="7">
        <f t="shared" ca="1" si="113"/>
        <v>37.266812821195074</v>
      </c>
      <c r="O185" s="7">
        <f t="shared" ca="1" si="113"/>
        <v>39.163801960812549</v>
      </c>
      <c r="P185" s="7">
        <f t="shared" ca="1" si="113"/>
        <v>41.157391891001424</v>
      </c>
      <c r="Q185" s="7">
        <f t="shared" ca="1" si="113"/>
        <v>43.231337282545269</v>
      </c>
      <c r="R185" s="7">
        <f t="shared" ca="1" si="113"/>
        <v>45.356934568684736</v>
      </c>
      <c r="S185" s="7">
        <f t="shared" ca="1" si="113"/>
        <v>47.502168741715309</v>
      </c>
      <c r="T185" s="7">
        <f t="shared" ca="1" si="113"/>
        <v>49.709963606959931</v>
      </c>
      <c r="U185" s="7">
        <f t="shared" ca="1" si="113"/>
        <v>51.999118569484239</v>
      </c>
    </row>
    <row r="186" spans="1:21" x14ac:dyDescent="0.2">
      <c r="A186" s="1" t="s">
        <v>480</v>
      </c>
      <c r="B186" s="4" t="str">
        <f t="shared" si="107"/>
        <v>From Fiscal</v>
      </c>
      <c r="D186" s="14">
        <f>'Fiscal Forecasts'!D$192</f>
        <v>5.2460000000000004</v>
      </c>
      <c r="E186" s="14">
        <f>'Fiscal Forecasts'!E$192</f>
        <v>5.36</v>
      </c>
      <c r="F186" s="14">
        <f>'Fiscal Forecasts'!F$192</f>
        <v>5.8520000000000003</v>
      </c>
      <c r="G186" s="15">
        <f>'Fiscal Forecasts'!G$192</f>
        <v>6.0389999999999997</v>
      </c>
      <c r="H186" s="15">
        <f>'Fiscal Forecasts'!H$192</f>
        <v>6.16</v>
      </c>
      <c r="I186" s="15">
        <f>'Fiscal Forecasts'!I$192</f>
        <v>6.6509999999999998</v>
      </c>
      <c r="J186" s="15">
        <f>'Fiscal Forecasts'!J$192</f>
        <v>7.09</v>
      </c>
      <c r="K186" s="15">
        <f>'Fiscal Forecasts'!K$192</f>
        <v>7.5369999999999999</v>
      </c>
      <c r="L186" s="6">
        <f>K$186*Exogenous!S$25/Exogenous!R$25</f>
        <v>7.8689082190750055</v>
      </c>
      <c r="M186" s="6">
        <f>L$186*Exogenous!T$25/Exogenous!S$25</f>
        <v>8.2483007718793111</v>
      </c>
      <c r="N186" s="6">
        <f>M$186*Exogenous!U$25/Exogenous!T$25</f>
        <v>8.5990687928877847</v>
      </c>
      <c r="O186" s="6">
        <f>N$186*Exogenous!V$25/Exogenous!U$25</f>
        <v>8.9638960024314063</v>
      </c>
      <c r="P186" s="6">
        <f>O$186*Exogenous!W$25/Exogenous!V$25</f>
        <v>9.3533828830917702</v>
      </c>
      <c r="Q186" s="6">
        <f>P$186*Exogenous!X$25/Exogenous!W$25</f>
        <v>9.7575657562763141</v>
      </c>
      <c r="R186" s="6">
        <f>Q$186*Exogenous!Y$25/Exogenous!X$25</f>
        <v>10.193676364475269</v>
      </c>
      <c r="S186" s="6">
        <f>R$186*Exogenous!Z$25/Exogenous!Y$25</f>
        <v>10.627949003279785</v>
      </c>
      <c r="T186" s="6">
        <f>S$186*Exogenous!AA$25/Exogenous!Z$25</f>
        <v>11.084955678060171</v>
      </c>
      <c r="U186" s="6">
        <f>T$186*Exogenous!AB$25/Exogenous!AA$25</f>
        <v>11.565771139247534</v>
      </c>
    </row>
    <row r="187" spans="1:21" x14ac:dyDescent="0.2">
      <c r="A187" s="1" t="s">
        <v>481</v>
      </c>
      <c r="B187" s="4" t="str">
        <f t="shared" si="107"/>
        <v>From Fiscal</v>
      </c>
      <c r="D187" s="14">
        <f>'Fiscal Forecasts'!D$35-SUM(D$185:D$186)</f>
        <v>-0.5379999999999967</v>
      </c>
      <c r="E187" s="14">
        <f>'Fiscal Forecasts'!E$35-SUM(E$185:E$186)</f>
        <v>-0.53999999999999915</v>
      </c>
      <c r="F187" s="14">
        <f>'Fiscal Forecasts'!F$35-SUM(F$185:F$186)</f>
        <v>-0.5470000000000006</v>
      </c>
      <c r="G187" s="15">
        <f>'Fiscal Forecasts'!G$35-SUM(G$185:G$186) +IF($C$2="Yes",SUM('Fiscal Forecast Adjuster'!C$15:C$20)/1000,0)</f>
        <v>-0.55900000000000105</v>
      </c>
      <c r="H187" s="15">
        <f>'Fiscal Forecasts'!H$35-SUM(H$185:H$186) +IF($C$2="Yes",SUM('Fiscal Forecast Adjuster'!D$15:D$20)/1000,0)</f>
        <v>-0.58100000000000307</v>
      </c>
      <c r="I187" s="15">
        <f>'Fiscal Forecasts'!I$35-SUM(I$185:I$186) +IF($C$2="Yes",SUM('Fiscal Forecast Adjuster'!E$15:E$20)/1000,0)</f>
        <v>-0.60099999999999909</v>
      </c>
      <c r="J187" s="15">
        <f>'Fiscal Forecasts'!J$35-SUM(J$185:J$186) +IF($C$2="Yes",SUM('Fiscal Forecast Adjuster'!F$15:F$20)/1000,0)</f>
        <v>-0.61999999999999744</v>
      </c>
      <c r="K187" s="15">
        <f>'Fiscal Forecasts'!K$35-SUM(K$185:K$186) +IF($C$2="Yes",SUM('Fiscal Forecast Adjuster'!G$15:G$20)/1000,0)</f>
        <v>-0.63899999999999579</v>
      </c>
      <c r="L187" s="6">
        <f>K$187*Exogenous!S$26/Exogenous!R$26</f>
        <v>-0.66731609817030801</v>
      </c>
      <c r="M187" s="6">
        <f>L$187*Exogenous!T$26/Exogenous!S$26</f>
        <v>-0.7013416569222346</v>
      </c>
      <c r="N187" s="6">
        <f>M$187*Exogenous!U$26/Exogenous!T$26</f>
        <v>-0.73006670622493863</v>
      </c>
      <c r="O187" s="6">
        <f>N$187*Exogenous!V$26/Exogenous!U$26</f>
        <v>-0.7616971151629911</v>
      </c>
      <c r="P187" s="6">
        <f>O$187*Exogenous!W$26/Exogenous!V$26</f>
        <v>-0.79586681185051</v>
      </c>
      <c r="Q187" s="6">
        <f>P$187*Exogenous!X$26/Exogenous!W$26</f>
        <v>-0.83079610236651646</v>
      </c>
      <c r="R187" s="6">
        <f>Q$187*Exogenous!Y$26/Exogenous!X$26</f>
        <v>-0.87127207076379087</v>
      </c>
      <c r="S187" s="6">
        <f>R$187*Exogenous!Z$26/Exogenous!Y$26</f>
        <v>-0.90743639061071835</v>
      </c>
      <c r="T187" s="6">
        <f>S$187*Exogenous!AA$26/Exogenous!Z$26</f>
        <v>-0.94616766116309281</v>
      </c>
      <c r="U187" s="6">
        <f>T$187*Exogenous!AB$26/Exogenous!AA$26</f>
        <v>-0.98759176440558705</v>
      </c>
    </row>
    <row r="188" spans="1:21" ht="15" x14ac:dyDescent="0.25">
      <c r="A188" s="2" t="s">
        <v>482</v>
      </c>
      <c r="D188" s="34">
        <f t="shared" ref="D188:U188" si="114">SUM(D$185:D$187)</f>
        <v>28.231000000000002</v>
      </c>
      <c r="E188" s="34">
        <f t="shared" si="114"/>
        <v>28.901</v>
      </c>
      <c r="F188" s="34">
        <f t="shared" si="114"/>
        <v>30.599</v>
      </c>
      <c r="G188" s="33">
        <f t="shared" si="114"/>
        <v>31.59</v>
      </c>
      <c r="H188" s="33">
        <f t="shared" si="114"/>
        <v>34.527999999999999</v>
      </c>
      <c r="I188" s="33">
        <f t="shared" si="114"/>
        <v>36.048999999999999</v>
      </c>
      <c r="J188" s="33">
        <f t="shared" si="114"/>
        <v>37.639000000000003</v>
      </c>
      <c r="K188" s="33">
        <f t="shared" si="114"/>
        <v>39.39</v>
      </c>
      <c r="L188" s="37">
        <f t="shared" ca="1" si="114"/>
        <v>41.034091133879286</v>
      </c>
      <c r="M188" s="37">
        <f t="shared" ca="1" si="114"/>
        <v>43.035629985169059</v>
      </c>
      <c r="N188" s="37">
        <f t="shared" ca="1" si="114"/>
        <v>45.13581490785792</v>
      </c>
      <c r="O188" s="37">
        <f t="shared" ca="1" si="114"/>
        <v>47.366000848080965</v>
      </c>
      <c r="P188" s="37">
        <f t="shared" ca="1" si="114"/>
        <v>49.714907962242684</v>
      </c>
      <c r="Q188" s="37">
        <f t="shared" ca="1" si="114"/>
        <v>52.15810693645507</v>
      </c>
      <c r="R188" s="37">
        <f t="shared" ca="1" si="114"/>
        <v>54.679338862396207</v>
      </c>
      <c r="S188" s="37">
        <f t="shared" ca="1" si="114"/>
        <v>57.22268135438437</v>
      </c>
      <c r="T188" s="37">
        <f t="shared" ca="1" si="114"/>
        <v>59.848751623857005</v>
      </c>
      <c r="U188" s="37">
        <f t="shared" ca="1" si="114"/>
        <v>62.577297944326183</v>
      </c>
    </row>
    <row r="189" spans="1:21" x14ac:dyDescent="0.2">
      <c r="A189" s="18" t="s">
        <v>465</v>
      </c>
    </row>
    <row r="190" spans="1:21" x14ac:dyDescent="0.2">
      <c r="A190" s="1" t="s">
        <v>819</v>
      </c>
      <c r="B190" s="4" t="str">
        <f>$B$11</f>
        <v>From Economic</v>
      </c>
      <c r="D190" s="20">
        <f>'Economic Forecasts'!M$18</f>
        <v>1077.5</v>
      </c>
      <c r="E190" s="20">
        <f>'Economic Forecasts'!N$18</f>
        <v>1111.4000000000001</v>
      </c>
      <c r="F190" s="20">
        <f>'Economic Forecasts'!O$18</f>
        <v>1129.72</v>
      </c>
      <c r="G190" s="21">
        <f>'Economic Forecasts'!P$18</f>
        <v>1166.2</v>
      </c>
      <c r="H190" s="21">
        <f>'Economic Forecasts'!Q$18</f>
        <v>1198.77</v>
      </c>
      <c r="I190" s="21">
        <f>'Economic Forecasts'!R$18</f>
        <v>1233.78</v>
      </c>
      <c r="J190" s="21">
        <f>'Economic Forecasts'!S$18</f>
        <v>1272.98</v>
      </c>
      <c r="K190" s="21">
        <f>'Economic Forecasts'!T$18</f>
        <v>1314.69</v>
      </c>
      <c r="L190" s="9">
        <f t="shared" ref="L190:U190" ca="1" si="115">K$190*(1+L$27)</f>
        <v>1359.7575732000003</v>
      </c>
      <c r="M190" s="9">
        <f t="shared" ca="1" si="115"/>
        <v>1407.063539171628</v>
      </c>
      <c r="N190" s="9">
        <f t="shared" ca="1" si="115"/>
        <v>1456.7328821043864</v>
      </c>
      <c r="O190" s="9">
        <f t="shared" ca="1" si="115"/>
        <v>1508.1555528426711</v>
      </c>
      <c r="P190" s="9">
        <f t="shared" ca="1" si="115"/>
        <v>1561.3934438580172</v>
      </c>
      <c r="Q190" s="9">
        <f t="shared" ca="1" si="115"/>
        <v>1616.5106324262051</v>
      </c>
      <c r="R190" s="9">
        <f t="shared" ca="1" si="115"/>
        <v>1673.5734577508499</v>
      </c>
      <c r="S190" s="9">
        <f t="shared" ca="1" si="115"/>
        <v>1732.6506008094548</v>
      </c>
      <c r="T190" s="9">
        <f t="shared" ca="1" si="115"/>
        <v>1793.8131670180283</v>
      </c>
      <c r="U190" s="9">
        <f t="shared" ca="1" si="115"/>
        <v>1857.1347718137645</v>
      </c>
    </row>
    <row r="191" spans="1:21" x14ac:dyDescent="0.2">
      <c r="A191" s="1" t="s">
        <v>463</v>
      </c>
      <c r="B191" s="4" t="str">
        <f>$B$11</f>
        <v>From Economic</v>
      </c>
      <c r="D191" s="20">
        <f>'Economic Forecasts'!M$19</f>
        <v>873.01</v>
      </c>
      <c r="E191" s="20">
        <f>'Economic Forecasts'!N$19</f>
        <v>896.89</v>
      </c>
      <c r="F191" s="20">
        <f>'Economic Forecasts'!O$19</f>
        <v>909.56</v>
      </c>
      <c r="G191" s="21">
        <f>'Economic Forecasts'!P$19</f>
        <v>934.42</v>
      </c>
      <c r="H191" s="21">
        <f>'Economic Forecasts'!Q$19</f>
        <v>956.95</v>
      </c>
      <c r="I191" s="21">
        <f>'Economic Forecasts'!R$19</f>
        <v>980.97</v>
      </c>
      <c r="J191" s="21">
        <f>'Economic Forecasts'!S$19</f>
        <v>1007.93</v>
      </c>
      <c r="K191" s="21">
        <f>'Economic Forecasts'!T$19</f>
        <v>1036.46</v>
      </c>
      <c r="L191" s="9">
        <f ca="1">IF(OFFSET(Assumptions!$B$30,0,$C$1)="Yes",(52*L$190-IF(52*L$190&gt;Exogenous!$C$52,(52*L$190-Exogenous!$C$52)*Exogenous!$B$53+Exogenous!$E$52,IF(52*L$190&gt;Exogenous!$C$51,(52*L$190-Exogenous!$C$51)*Exogenous!$B$52+Exogenous!$E$51,IF(52*L$190&gt;Exogenous!$C$50,(52*L$190-Exogenous!$C$50)*Exogenous!$B$51+Exogenous!$E$50,52*L$190*Exogenous!$B$50)))-52*L$190*Exogenous!$B$54)/52,K$191*(1+L$27))</f>
        <v>1071.9898488000001</v>
      </c>
      <c r="M191" s="9">
        <f ca="1">IF(OFFSET(Assumptions!$B$30,0,$C$1)="Yes",(52*M$190-IF(52*M$190&gt;Exogenous!$C$52,(52*M$190-Exogenous!$C$52)*Exogenous!$B$53+Exogenous!$E$52,IF(52*M$190&gt;Exogenous!$C$51,(52*M$190-Exogenous!$C$51)*Exogenous!$B$52+Exogenous!$E$51,IF(52*M$190&gt;Exogenous!$C$50,(52*M$190-Exogenous!$C$50)*Exogenous!$B$51+Exogenous!$E$50,52*M$190*Exogenous!$B$50)))-52*M$190*Exogenous!$B$54)/52,L$191*(1+M$27))</f>
        <v>1109.2843756397519</v>
      </c>
      <c r="N191" s="9">
        <f ca="1">IF(OFFSET(Assumptions!$B$30,0,$C$1)="Yes",(52*N$190-IF(52*N$190&gt;Exogenous!$C$52,(52*N$190-Exogenous!$C$52)*Exogenous!$B$53+Exogenous!$E$52,IF(52*N$190&gt;Exogenous!$C$51,(52*N$190-Exogenous!$C$51)*Exogenous!$B$52+Exogenous!$E$51,IF(52*N$190&gt;Exogenous!$C$50,(52*N$190-Exogenous!$C$50)*Exogenous!$B$51+Exogenous!$E$50,52*N$190*Exogenous!$B$50)))-52*N$190*Exogenous!$B$54)/52,M$191*(1+N$27))</f>
        <v>1148.442114099835</v>
      </c>
      <c r="O191" s="9">
        <f ca="1">IF(OFFSET(Assumptions!$B$30,0,$C$1)="Yes",(52*O$190-IF(52*O$190&gt;Exogenous!$C$52,(52*O$190-Exogenous!$C$52)*Exogenous!$B$53+Exogenous!$E$52,IF(52*O$190&gt;Exogenous!$C$51,(52*O$190-Exogenous!$C$51)*Exogenous!$B$52+Exogenous!$E$51,IF(52*O$190&gt;Exogenous!$C$50,(52*O$190-Exogenous!$C$50)*Exogenous!$B$51+Exogenous!$E$50,52*O$190*Exogenous!$B$50)))-52*O$190*Exogenous!$B$54)/52,N$191*(1+O$27))</f>
        <v>1188.982120727559</v>
      </c>
      <c r="P191" s="9">
        <f ca="1">IF(OFFSET(Assumptions!$B$30,0,$C$1)="Yes",(52*P$190-IF(52*P$190&gt;Exogenous!$C$52,(52*P$190-Exogenous!$C$52)*Exogenous!$B$53+Exogenous!$E$52,IF(52*P$190&gt;Exogenous!$C$51,(52*P$190-Exogenous!$C$51)*Exogenous!$B$52+Exogenous!$E$51,IF(52*P$190&gt;Exogenous!$C$50,(52*P$190-Exogenous!$C$50)*Exogenous!$B$51+Exogenous!$E$50,52*P$190*Exogenous!$B$50)))-52*P$190*Exogenous!$B$54)/52,O$191*(1+P$27))</f>
        <v>1230.9531895892417</v>
      </c>
      <c r="Q191" s="9">
        <f ca="1">IF(OFFSET(Assumptions!$B$30,0,$C$1)="Yes",(52*Q$190-IF(52*Q$190&gt;Exogenous!$C$52,(52*Q$190-Exogenous!$C$52)*Exogenous!$B$53+Exogenous!$E$52,IF(52*Q$190&gt;Exogenous!$C$51,(52*Q$190-Exogenous!$C$51)*Exogenous!$B$52+Exogenous!$E$51,IF(52*Q$190&gt;Exogenous!$C$50,(52*Q$190-Exogenous!$C$50)*Exogenous!$B$51+Exogenous!$E$50,52*Q$190*Exogenous!$B$50)))-52*Q$190*Exogenous!$B$54)/52,P$191*(1+Q$27))</f>
        <v>1274.4058371817418</v>
      </c>
      <c r="R191" s="9">
        <f ca="1">IF(OFFSET(Assumptions!$B$30,0,$C$1)="Yes",(52*R$190-IF(52*R$190&gt;Exogenous!$C$52,(52*R$190-Exogenous!$C$52)*Exogenous!$B$53+Exogenous!$E$52,IF(52*R$190&gt;Exogenous!$C$51,(52*R$190-Exogenous!$C$51)*Exogenous!$B$52+Exogenous!$E$51,IF(52*R$190&gt;Exogenous!$C$50,(52*R$190-Exogenous!$C$50)*Exogenous!$B$51+Exogenous!$E$50,52*R$190*Exogenous!$B$50)))-52*R$190*Exogenous!$B$54)/52,Q$191*(1+R$27))</f>
        <v>1319.3923632342571</v>
      </c>
      <c r="S191" s="9">
        <f ca="1">IF(OFFSET(Assumptions!$B$30,0,$C$1)="Yes",(52*S$190-IF(52*S$190&gt;Exogenous!$C$52,(52*S$190-Exogenous!$C$52)*Exogenous!$B$53+Exogenous!$E$52,IF(52*S$190&gt;Exogenous!$C$51,(52*S$190-Exogenous!$C$51)*Exogenous!$B$52+Exogenous!$E$51,IF(52*S$190&gt;Exogenous!$C$50,(52*S$190-Exogenous!$C$50)*Exogenous!$B$51+Exogenous!$E$50,52*S$190*Exogenous!$B$50)))-52*S$190*Exogenous!$B$54)/52,R$191*(1+S$27))</f>
        <v>1365.9669136564262</v>
      </c>
      <c r="T191" s="9">
        <f ca="1">IF(OFFSET(Assumptions!$B$30,0,$C$1)="Yes",(52*T$190-IF(52*T$190&gt;Exogenous!$C$52,(52*T$190-Exogenous!$C$52)*Exogenous!$B$53+Exogenous!$E$52,IF(52*T$190&gt;Exogenous!$C$51,(52*T$190-Exogenous!$C$51)*Exogenous!$B$52+Exogenous!$E$51,IF(52*T$190&gt;Exogenous!$C$50,(52*T$190-Exogenous!$C$50)*Exogenous!$B$51+Exogenous!$E$50,52*T$190*Exogenous!$B$50)))-52*T$190*Exogenous!$B$54)/52,S$191*(1+T$27))</f>
        <v>1414.1855457084978</v>
      </c>
      <c r="U191" s="9">
        <f ca="1">IF(OFFSET(Assumptions!$B$30,0,$C$1)="Yes",(52*U$190-IF(52*U$190&gt;Exogenous!$C$52,(52*U$190-Exogenous!$C$52)*Exogenous!$B$53+Exogenous!$E$52,IF(52*U$190&gt;Exogenous!$C$51,(52*U$190-Exogenous!$C$51)*Exogenous!$B$52+Exogenous!$E$51,IF(52*U$190&gt;Exogenous!$C$50,(52*U$190-Exogenous!$C$50)*Exogenous!$B$51+Exogenous!$E$50,52*U$190*Exogenous!$B$50)))-52*U$190*Exogenous!$B$54)/52,T$191*(1+U$27))</f>
        <v>1464.1062954720076</v>
      </c>
    </row>
    <row r="192" spans="1:21" x14ac:dyDescent="0.2">
      <c r="A192" s="1" t="s">
        <v>464</v>
      </c>
      <c r="B192" s="4" t="str">
        <f>$B$11</f>
        <v>From Economic</v>
      </c>
      <c r="D192" s="20">
        <f>'Economic Forecasts'!M$20</f>
        <v>326.3</v>
      </c>
      <c r="E192" s="20">
        <f>'Economic Forecasts'!N$20</f>
        <v>335.74</v>
      </c>
      <c r="F192" s="20">
        <f>'Economic Forecasts'!O$20</f>
        <v>340.8</v>
      </c>
      <c r="G192" s="21">
        <f>'Economic Forecasts'!P$20</f>
        <v>350.76</v>
      </c>
      <c r="H192" s="21">
        <f>'Economic Forecasts'!Q$20</f>
        <v>359.76</v>
      </c>
      <c r="I192" s="21">
        <f>'Economic Forecasts'!R$20</f>
        <v>369.44</v>
      </c>
      <c r="J192" s="21">
        <f>'Economic Forecasts'!S$20</f>
        <v>380.27</v>
      </c>
      <c r="K192" s="21">
        <f>'Economic Forecasts'!T$20</f>
        <v>391.6</v>
      </c>
      <c r="L192" s="9">
        <f ca="1">IF(OFFSET(Assumptions!$B$30,0,$C$1)="Yes",IF(52*L$193&gt;Exogenous!$D$52,(52*L$193-Exogenous!$F$53)/(1-Exogenous!$B$53),IF(52*L$193&gt;Exogenous!$D$51,(52*L$193-Exogenous!$F$52)/(1-Exogenous!$B$52),IF(52*L$193&gt;Exogenous!$D$50,(52*L$193-Exogenous!$F$51)/(1-Exogenous!$B$51),52*L$193/(1-Exogenous!$B$50))))/52,K$192*L$193/K$193)</f>
        <v>399.43200000000002</v>
      </c>
      <c r="M192" s="9">
        <f ca="1">IF(OFFSET(Assumptions!$B$30,0,$C$1)="Yes",IF(52*M$193&gt;Exogenous!$D$52,(52*M$193-Exogenous!$F$53)/(1-Exogenous!$B$53),IF(52*M$193&gt;Exogenous!$D$51,(52*M$193-Exogenous!$F$52)/(1-Exogenous!$B$52),IF(52*M$193&gt;Exogenous!$D$50,(52*M$193-Exogenous!$F$51)/(1-Exogenous!$B$51),52*M$193/(1-Exogenous!$B$50))))/52,L$192*M$193/L$193)</f>
        <v>412.76678211756638</v>
      </c>
      <c r="N192" s="9">
        <f ca="1">IF(OFFSET(Assumptions!$B$30,0,$C$1)="Yes",IF(52*N$193&gt;Exogenous!$D$52,(52*N$193-Exogenous!$F$53)/(1-Exogenous!$B$53),IF(52*N$193&gt;Exogenous!$D$51,(52*N$193-Exogenous!$F$52)/(1-Exogenous!$B$52),IF(52*N$193&gt;Exogenous!$D$50,(52*N$193-Exogenous!$F$51)/(1-Exogenous!$B$51),52*N$193/(1-Exogenous!$B$50))))/52,M$192*N$193/M$193)</f>
        <v>427.33744952631639</v>
      </c>
      <c r="O192" s="9">
        <f ca="1">IF(OFFSET(Assumptions!$B$30,0,$C$1)="Yes",IF(52*O$193&gt;Exogenous!$D$52,(52*O$193-Exogenous!$F$53)/(1-Exogenous!$B$53),IF(52*O$193&gt;Exogenous!$D$51,(52*O$193-Exogenous!$F$52)/(1-Exogenous!$B$52),IF(52*O$193&gt;Exogenous!$D$50,(52*O$193-Exogenous!$F$51)/(1-Exogenous!$B$51),52*O$193/(1-Exogenous!$B$50))))/52,N$192*O$193/N$193)</f>
        <v>442.42246149459527</v>
      </c>
      <c r="P192" s="9">
        <f ca="1">IF(OFFSET(Assumptions!$B$30,0,$C$1)="Yes",IF(52*P$193&gt;Exogenous!$D$52,(52*P$193-Exogenous!$F$53)/(1-Exogenous!$B$53),IF(52*P$193&gt;Exogenous!$D$51,(52*P$193-Exogenous!$F$52)/(1-Exogenous!$B$52),IF(52*P$193&gt;Exogenous!$D$50,(52*P$193-Exogenous!$F$51)/(1-Exogenous!$B$51),52*P$193/(1-Exogenous!$B$50))))/52,O$192*P$193/O$193)</f>
        <v>458.03997438535441</v>
      </c>
      <c r="Q192" s="9">
        <f ca="1">IF(OFFSET(Assumptions!$B$30,0,$C$1)="Yes",IF(52*Q$193&gt;Exogenous!$D$52,(52*Q$193-Exogenous!$F$53)/(1-Exogenous!$B$53),IF(52*Q$193&gt;Exogenous!$D$51,(52*Q$193-Exogenous!$F$52)/(1-Exogenous!$B$52),IF(52*Q$193&gt;Exogenous!$D$50,(52*Q$193-Exogenous!$F$51)/(1-Exogenous!$B$51),52*Q$193/(1-Exogenous!$B$50))))/52,P$192*Q$193/P$193)</f>
        <v>474.20878548115741</v>
      </c>
      <c r="R192" s="9">
        <f ca="1">IF(OFFSET(Assumptions!$B$30,0,$C$1)="Yes",IF(52*R$193&gt;Exogenous!$D$52,(52*R$193-Exogenous!$F$53)/(1-Exogenous!$B$53),IF(52*R$193&gt;Exogenous!$D$51,(52*R$193-Exogenous!$F$52)/(1-Exogenous!$B$52),IF(52*R$193&gt;Exogenous!$D$50,(52*R$193-Exogenous!$F$51)/(1-Exogenous!$B$51),52*R$193/(1-Exogenous!$B$50))))/52,Q$192*R$193/Q$193)</f>
        <v>490.94835560864215</v>
      </c>
      <c r="S192" s="9">
        <f ca="1">IF(OFFSET(Assumptions!$B$30,0,$C$1)="Yes",IF(52*S$193&gt;Exogenous!$D$52,(52*S$193-Exogenous!$F$53)/(1-Exogenous!$B$53),IF(52*S$193&gt;Exogenous!$D$51,(52*S$193-Exogenous!$F$52)/(1-Exogenous!$B$52),IF(52*S$193&gt;Exogenous!$D$50,(52*S$193-Exogenous!$F$51)/(1-Exogenous!$B$51),52*S$193/(1-Exogenous!$B$50))))/52,R$192*S$193/R$193)</f>
        <v>508.27883256162715</v>
      </c>
      <c r="T192" s="9">
        <f ca="1">IF(OFFSET(Assumptions!$B$30,0,$C$1)="Yes",IF(52*T$193&gt;Exogenous!$D$52,(52*T$193-Exogenous!$F$53)/(1-Exogenous!$B$53),IF(52*T$193&gt;Exogenous!$D$51,(52*T$193-Exogenous!$F$52)/(1-Exogenous!$B$52),IF(52*T$193&gt;Exogenous!$D$50,(52*T$193-Exogenous!$F$51)/(1-Exogenous!$B$51),52*T$193/(1-Exogenous!$B$50))))/52,S$192*T$193/S$193)</f>
        <v>526.22107535105249</v>
      </c>
      <c r="U192" s="9">
        <f ca="1">IF(OFFSET(Assumptions!$B$30,0,$C$1)="Yes",IF(52*U$193&gt;Exogenous!$D$52,(52*U$193-Exogenous!$F$53)/(1-Exogenous!$B$53),IF(52*U$193&gt;Exogenous!$D$51,(52*U$193-Exogenous!$F$52)/(1-Exogenous!$B$52),IF(52*U$193&gt;Exogenous!$D$50,(52*U$193-Exogenous!$F$51)/(1-Exogenous!$B$51),52*U$193/(1-Exogenous!$B$50))))/52,T$192*U$193/T$193)</f>
        <v>544.79667931094457</v>
      </c>
    </row>
    <row r="193" spans="1:21" x14ac:dyDescent="0.2">
      <c r="A193" s="1" t="s">
        <v>467</v>
      </c>
      <c r="B193" s="4" t="str">
        <f>$B$11</f>
        <v>From Economic</v>
      </c>
      <c r="D193" s="20">
        <f>'Economic Forecasts'!M$21</f>
        <v>288.10000000000002</v>
      </c>
      <c r="E193" s="20">
        <f>'Economic Forecasts'!N$21</f>
        <v>295.97000000000003</v>
      </c>
      <c r="F193" s="20">
        <f>'Economic Forecasts'!O$21</f>
        <v>300.14999999999998</v>
      </c>
      <c r="G193" s="21">
        <f>'Economic Forecasts'!P$21</f>
        <v>308.36</v>
      </c>
      <c r="H193" s="21">
        <f>'Economic Forecasts'!Q$21</f>
        <v>315.79000000000002</v>
      </c>
      <c r="I193" s="21">
        <f>'Economic Forecasts'!R$21</f>
        <v>323.72000000000003</v>
      </c>
      <c r="J193" s="21">
        <f>'Economic Forecasts'!S$21</f>
        <v>332.62</v>
      </c>
      <c r="K193" s="21">
        <f>'Economic Forecasts'!T$21</f>
        <v>342.03</v>
      </c>
      <c r="L193" s="9">
        <f ca="1">MAX(OFFSET(Assumptions!$B$47,0,$C$1)*L$191/2,K$193*(1+L$30))</f>
        <v>348.87059999999997</v>
      </c>
      <c r="M193" s="9">
        <f ca="1">MAX(OFFSET(Assumptions!$B$47,0,$C$1)*M$191/2,L$193*(1+M$30))</f>
        <v>360.51742208291938</v>
      </c>
      <c r="N193" s="9">
        <f ca="1">MAX(OFFSET(Assumptions!$B$47,0,$C$1)*N$191/2,M$193*(1+N$30))</f>
        <v>373.2436870824464</v>
      </c>
      <c r="O193" s="9">
        <f ca="1">MAX(OFFSET(Assumptions!$B$47,0,$C$1)*O$191/2,N$193*(1+O$30))</f>
        <v>386.4191892364567</v>
      </c>
      <c r="P193" s="9">
        <f ca="1">MAX(OFFSET(Assumptions!$B$47,0,$C$1)*P$191/2,O$193*(1+P$30))</f>
        <v>400.05978661650357</v>
      </c>
      <c r="Q193" s="9">
        <f ca="1">MAX(OFFSET(Assumptions!$B$47,0,$C$1)*Q$191/2,P$193*(1+Q$30))</f>
        <v>414.18189708406612</v>
      </c>
      <c r="R193" s="9">
        <f ca="1">MAX(OFFSET(Assumptions!$B$47,0,$C$1)*R$191/2,Q$193*(1+R$30))</f>
        <v>428.80251805113357</v>
      </c>
      <c r="S193" s="9">
        <f ca="1">MAX(OFFSET(Assumptions!$B$47,0,$C$1)*S$191/2,R$193*(1+S$30))</f>
        <v>443.9392469383385</v>
      </c>
      <c r="T193" s="9">
        <f ca="1">MAX(OFFSET(Assumptions!$B$47,0,$C$1)*T$191/2,S$193*(1+T$30))</f>
        <v>459.61030235526181</v>
      </c>
      <c r="U193" s="9">
        <f ca="1">MAX(OFFSET(Assumptions!$B$47,0,$C$1)*U$191/2,T$193*(1+U$30))</f>
        <v>475.83454602840249</v>
      </c>
    </row>
    <row r="194" spans="1:21" x14ac:dyDescent="0.2">
      <c r="B194" s="4"/>
      <c r="D194" s="20"/>
      <c r="E194" s="20"/>
      <c r="F194" s="20"/>
      <c r="G194" s="21"/>
      <c r="H194" s="21"/>
      <c r="I194" s="21"/>
      <c r="J194" s="21"/>
      <c r="K194" s="21"/>
      <c r="L194" s="9"/>
      <c r="M194" s="9"/>
      <c r="N194" s="9"/>
      <c r="O194" s="9"/>
      <c r="P194" s="9"/>
      <c r="Q194" s="9"/>
      <c r="R194" s="9"/>
      <c r="S194" s="9"/>
      <c r="T194" s="9"/>
      <c r="U194" s="9"/>
    </row>
    <row r="195" spans="1:21" x14ac:dyDescent="0.2">
      <c r="A195" s="18" t="s">
        <v>147</v>
      </c>
    </row>
    <row r="196" spans="1:21" x14ac:dyDescent="0.2">
      <c r="A196" s="1" t="s">
        <v>298</v>
      </c>
      <c r="B196" s="4" t="str">
        <f>$B$37</f>
        <v>From Fiscal</v>
      </c>
      <c r="D196" s="14">
        <f>'Fiscal Forecasts'!D$157</f>
        <v>6.5519999999999996</v>
      </c>
      <c r="E196" s="14">
        <f>'Fiscal Forecasts'!E$157</f>
        <v>6.6660000000000004</v>
      </c>
      <c r="F196" s="14">
        <f>'Fiscal Forecasts'!F$157</f>
        <v>6.89</v>
      </c>
      <c r="G196" s="15">
        <f>'Fiscal Forecasts'!G$157</f>
        <v>7.2409999999999997</v>
      </c>
      <c r="H196" s="15">
        <f>'Fiscal Forecasts'!H$157</f>
        <v>7.54</v>
      </c>
      <c r="I196" s="15">
        <f>'Fiscal Forecasts'!I$157</f>
        <v>7.4119999999999999</v>
      </c>
      <c r="J196" s="15">
        <f>'Fiscal Forecasts'!J$157</f>
        <v>7.4219999999999997</v>
      </c>
      <c r="K196" s="15">
        <f>'Fiscal Forecasts'!K$157</f>
        <v>7.444</v>
      </c>
      <c r="L196" s="6">
        <f ca="1">SUM(L$243,IF(L$6=OFFSET(Assumptions!$B$8,0,$C$1),AVERAGE(SUM(I$196,-I$243)/SUM(I$196,I$203,I$213,-I$243,-I$315),SUM(J$196,-J$243)/SUM(J$196,J$203,J$213,-J$243,-J$315),SUM(K$196,-K$243)/SUM(K$196,K$203,K$213,-K$243,-K$315)),SUM(K$196,-K$243)/SUM(K$196,K$203,K$213,-K$243,-K$315))*SUM(-L$247,-L$255,L$314))</f>
        <v>7.4096984722128862</v>
      </c>
      <c r="M196" s="6">
        <f ca="1">SUM(M$243,IF(M$6=OFFSET(Assumptions!$B$8,0,$C$1),AVERAGE(SUM(J$196,-J$243)/SUM(J$196,J$203,J$213,-J$243,-J$315),SUM(K$196,-K$243)/SUM(K$196,K$203,K$213,-K$243,-K$315),SUM(L$196,-L$243)/SUM(L$196,L$203,L$213,-L$243,-L$315)),SUM(L$196,-L$243)/SUM(L$196,L$203,L$213,-L$243,-L$315))*SUM(-M$247,-M$255,M$314))</f>
        <v>7.4220590413425311</v>
      </c>
      <c r="N196" s="6">
        <f ca="1">SUM(N$243,IF(N$6=OFFSET(Assumptions!$B$8,0,$C$1),AVERAGE(SUM(K$196,-K$243)/SUM(K$196,K$203,K$213,-K$243,-K$315),SUM(L$196,-L$243)/SUM(L$196,L$203,L$213,-L$243,-L$315),SUM(M$196,-M$243)/SUM(M$196,M$203,M$213,-M$243,-M$315)),SUM(M$196,-M$243)/SUM(M$196,M$203,M$213,-M$243,-M$315))*SUM(-N$247,-N$255,N$314))</f>
        <v>7.4341396178110291</v>
      </c>
      <c r="O196" s="6">
        <f ca="1">SUM(O$243,IF(O$6=OFFSET(Assumptions!$B$8,0,$C$1),AVERAGE(SUM(L$196,-L$243)/SUM(L$196,L$203,L$213,-L$243,-L$315),SUM(M$196,-M$243)/SUM(M$196,M$203,M$213,-M$243,-M$315),SUM(N$196,-N$243)/SUM(N$196,N$203,N$213,-N$243,-N$315)),SUM(N$196,-N$243)/SUM(N$196,N$203,N$213,-N$243,-N$315))*SUM(-O$247,-O$255,O$314))</f>
        <v>7.4465031167391293</v>
      </c>
      <c r="P196" s="6">
        <f ca="1">SUM(P$243,IF(P$6=OFFSET(Assumptions!$B$8,0,$C$1),AVERAGE(SUM(M$196,-M$243)/SUM(M$196,M$203,M$213,-M$243,-M$315),SUM(N$196,-N$243)/SUM(N$196,N$203,N$213,-N$243,-N$315),SUM(O$196,-O$243)/SUM(O$196,O$203,O$213,-O$243,-O$315)),SUM(O$196,-O$243)/SUM(O$196,O$203,O$213,-O$243,-O$315))*SUM(-P$247,-P$255,P$314))</f>
        <v>7.458735690127269</v>
      </c>
      <c r="Q196" s="6">
        <f ca="1">SUM(Q$243,IF(Q$6=OFFSET(Assumptions!$B$8,0,$C$1),AVERAGE(SUM(N$196,-N$243)/SUM(N$196,N$203,N$213,-N$243,-N$315),SUM(O$196,-O$243)/SUM(O$196,O$203,O$213,-O$243,-O$315),SUM(P$196,-P$243)/SUM(P$196,P$203,P$213,-P$243,-P$315)),SUM(P$196,-P$243)/SUM(P$196,P$203,P$213,-P$243,-P$315))*SUM(-Q$247,-Q$255,Q$314))</f>
        <v>7.4682773107598805</v>
      </c>
      <c r="R196" s="6">
        <f ca="1">SUM(R$243,IF(R$6=OFFSET(Assumptions!$B$8,0,$C$1),AVERAGE(SUM(O$196,-O$243)/SUM(O$196,O$203,O$213,-O$243,-O$315),SUM(P$196,-P$243)/SUM(P$196,P$203,P$213,-P$243,-P$315),SUM(Q$196,-Q$243)/SUM(Q$196,Q$203,Q$213,-Q$243,-Q$315)),SUM(Q$196,-Q$243)/SUM(Q$196,Q$203,Q$213,-Q$243,-Q$315))*SUM(-R$247,-R$255,R$314))</f>
        <v>7.4725284311200824</v>
      </c>
      <c r="S196" s="6">
        <f ca="1">SUM(S$243,IF(S$6=OFFSET(Assumptions!$B$8,0,$C$1),AVERAGE(SUM(P$196,-P$243)/SUM(P$196,P$203,P$213,-P$243,-P$315),SUM(Q$196,-Q$243)/SUM(Q$196,Q$203,Q$213,-Q$243,-Q$315),SUM(R$196,-R$243)/SUM(R$196,R$203,R$213,-R$243,-R$315)),SUM(R$196,-R$243)/SUM(R$196,R$203,R$213,-R$243,-R$315))*SUM(-S$247,-S$255,S$314))</f>
        <v>7.4777151504878523</v>
      </c>
      <c r="T196" s="6">
        <f ca="1">SUM(T$243,IF(T$6=OFFSET(Assumptions!$B$8,0,$C$1),AVERAGE(SUM(Q$196,-Q$243)/SUM(Q$196,Q$203,Q$213,-Q$243,-Q$315),SUM(R$196,-R$243)/SUM(R$196,R$203,R$213,-R$243,-R$315),SUM(S$196,-S$243)/SUM(S$196,S$203,S$213,-S$243,-S$315)),SUM(S$196,-S$243)/SUM(S$196,S$203,S$213,-S$243,-S$315))*SUM(-T$247,-T$255,T$314))</f>
        <v>7.4823020128414841</v>
      </c>
      <c r="U196" s="6">
        <f ca="1">SUM(U$243,IF(U$6=OFFSET(Assumptions!$B$8,0,$C$1),AVERAGE(SUM(R$196,-R$243)/SUM(R$196,R$203,R$213,-R$243,-R$315),SUM(S$196,-S$243)/SUM(S$196,S$203,S$213,-S$243,-S$315),SUM(T$196,-T$243)/SUM(T$196,T$203,T$213,-T$243,-T$315)),SUM(T$196,-T$243)/SUM(T$196,T$203,T$213,-T$243,-T$315))*SUM(-U$247,-U$255,U$314))</f>
        <v>7.4873608647972389</v>
      </c>
    </row>
    <row r="197" spans="1:21" x14ac:dyDescent="0.2">
      <c r="A197" s="1" t="s">
        <v>272</v>
      </c>
      <c r="B197" s="4" t="str">
        <f>$B$37</f>
        <v>From Fiscal</v>
      </c>
      <c r="D197" s="14">
        <f>'Fiscal Forecasts'!D$238</f>
        <v>11.66</v>
      </c>
      <c r="E197" s="14">
        <f>'Fiscal Forecasts'!E$238</f>
        <v>12.205</v>
      </c>
      <c r="F197" s="14">
        <f>'Fiscal Forecasts'!F$238</f>
        <v>12.878</v>
      </c>
      <c r="G197" s="15">
        <f>'Fiscal Forecasts'!G$238</f>
        <v>13.538</v>
      </c>
      <c r="H197" s="15">
        <f>'Fiscal Forecasts'!H$238</f>
        <v>13.856</v>
      </c>
      <c r="I197" s="15">
        <f>'Fiscal Forecasts'!I$238</f>
        <v>14.04</v>
      </c>
      <c r="J197" s="15">
        <f>'Fiscal Forecasts'!J$238</f>
        <v>14.391999999999999</v>
      </c>
      <c r="K197" s="15">
        <f>'Fiscal Forecasts'!K$238</f>
        <v>14.316000000000001</v>
      </c>
      <c r="L197" s="6">
        <f ca="1">SUM(L$244-L$243,IF(L$6=OFFSET(Assumptions!$B$8,0,$C$1),AVERAGE(SUM(I$197,-(I$244-I$243))/SUM(I$197,-(I$244-I$243),I$204,I$214),SUM(J$197,-(J$244-J$243))/SUM(J$197,-(J$244-J$243),J$204,J$214),SUM(K$197,-(K$244-K$243))/SUM(K$197,-(K$244-K$243),K$204,K$214)),SUM(K$197,-(K$244-K$243))/SUM(K$197,-(K$244-K$243),K$204,K$214))*SUM(L$186-L$229,L$248,L$257,L$279,L$317,-(L$244-L$243)))</f>
        <v>14.740204608737503</v>
      </c>
      <c r="M197" s="6">
        <f ca="1">SUM(M$244-M$243,IF(M$6=OFFSET(Assumptions!$B$8,0,$C$1),AVERAGE(SUM(J$197,-(J$244-J$243))/SUM(J$197,-(J$244-J$243),J$204,J$214),SUM(K$197,-(K$244-K$243))/SUM(K$197,-(K$244-K$243),K$204,K$214),SUM(L$197,-(L$244-L$243))/SUM(L$197,-(L$244-L$243),L$204,L$214)),SUM(L$197,-(L$244-L$243))/SUM(L$197,-(L$244-L$243),L$204,L$214))*SUM(M$186-M$229,M$248,M$257,M$279,M$317,-(M$244-M$243)))</f>
        <v>15.056792537922627</v>
      </c>
      <c r="N197" s="6">
        <f ca="1">SUM(N$244-N$243,IF(N$6=OFFSET(Assumptions!$B$8,0,$C$1),AVERAGE(SUM(K$197,-(K$244-K$243))/SUM(K$197,-(K$244-K$243),K$204,K$214),SUM(L$197,-(L$244-L$243))/SUM(L$197,-(L$244-L$243),L$204,L$214),SUM(M$197,-(M$244-M$243))/SUM(M$197,-(M$244-M$243),M$204,M$214)),SUM(M$197,-(M$244-M$243))/SUM(M$197,-(M$244-M$243),M$204,M$214))*SUM(N$186-N$229,N$248,N$257,N$279,N$317,-(N$244-N$243)))</f>
        <v>15.270421902005676</v>
      </c>
      <c r="O197" s="6">
        <f ca="1">SUM(O$244-O$243,IF(O$6=OFFSET(Assumptions!$B$8,0,$C$1),AVERAGE(SUM(L$197,-(L$244-L$243))/SUM(L$197,-(L$244-L$243),L$204,L$214),SUM(M$197,-(M$244-M$243))/SUM(M$197,-(M$244-M$243),M$204,M$214),SUM(N$197,-(N$244-N$243))/SUM(N$197,-(N$244-N$243),N$204,N$214)),SUM(N$197,-(N$244-N$243))/SUM(N$197,-(N$244-N$243),N$204,N$214))*SUM(O$186-O$229,O$248,O$257,O$279,O$317,-(O$244-O$243)))</f>
        <v>15.489862374293757</v>
      </c>
      <c r="P197" s="6">
        <f ca="1">SUM(P$244-P$243,IF(P$6=OFFSET(Assumptions!$B$8,0,$C$1),AVERAGE(SUM(M$197,-(M$244-M$243))/SUM(M$197,-(M$244-M$243),M$204,M$214),SUM(N$197,-(N$244-N$243))/SUM(N$197,-(N$244-N$243),N$204,N$214),SUM(O$197,-(O$244-O$243))/SUM(O$197,-(O$244-O$243),O$204,O$214)),SUM(O$197,-(O$244-O$243))/SUM(O$197,-(O$244-O$243),O$204,O$214))*SUM(P$186-P$229,P$248,P$257,P$279,P$317,-(P$244-P$243)))</f>
        <v>15.717544649805649</v>
      </c>
      <c r="Q197" s="6">
        <f ca="1">SUM(Q$244-Q$243,IF(Q$6=OFFSET(Assumptions!$B$8,0,$C$1),AVERAGE(SUM(N$197,-(N$244-N$243))/SUM(N$197,-(N$244-N$243),N$204,N$214),SUM(O$197,-(O$244-O$243))/SUM(O$197,-(O$244-O$243),O$204,O$214),SUM(P$197,-(P$244-P$243))/SUM(P$197,-(P$244-P$243),P$204,P$214)),SUM(P$197,-(P$244-P$243))/SUM(P$197,-(P$244-P$243),P$204,P$214))*SUM(Q$186-Q$229,Q$248,Q$257,Q$279,Q$317,-(Q$244-Q$243)))</f>
        <v>15.952937347356354</v>
      </c>
      <c r="R197" s="6">
        <f ca="1">SUM(R$244-R$243,IF(R$6=OFFSET(Assumptions!$B$8,0,$C$1),AVERAGE(SUM(O$197,-(O$244-O$243))/SUM(O$197,-(O$244-O$243),O$204,O$214),SUM(P$197,-(P$244-P$243))/SUM(P$197,-(P$244-P$243),P$204,P$214),SUM(Q$197,-(Q$244-Q$243))/SUM(Q$197,-(Q$244-Q$243),Q$204,Q$214)),SUM(Q$197,-(Q$244-Q$243))/SUM(Q$197,-(Q$244-Q$243),Q$204,Q$214))*SUM(R$186-R$229,R$248,R$257,R$279,R$317,-(R$244-R$243)))</f>
        <v>16.19666584179642</v>
      </c>
      <c r="S197" s="6">
        <f ca="1">SUM(S$244-S$243,IF(S$6=OFFSET(Assumptions!$B$8,0,$C$1),AVERAGE(SUM(P$197,-(P$244-P$243))/SUM(P$197,-(P$244-P$243),P$204,P$214),SUM(Q$197,-(Q$244-Q$243))/SUM(Q$197,-(Q$244-Q$243),Q$204,Q$214),SUM(R$197,-(R$244-R$243))/SUM(R$197,-(R$244-R$243),R$204,R$214)),SUM(R$197,-(R$244-R$243))/SUM(R$197,-(R$244-R$243),R$204,R$214))*SUM(S$186-S$229,S$248,S$257,S$279,S$317,-(S$244-S$243)))</f>
        <v>16.447521431021723</v>
      </c>
      <c r="T197" s="6">
        <f ca="1">SUM(T$244-T$243,IF(T$6=OFFSET(Assumptions!$B$8,0,$C$1),AVERAGE(SUM(Q$197,-(Q$244-Q$243))/SUM(Q$197,-(Q$244-Q$243),Q$204,Q$214),SUM(R$197,-(R$244-R$243))/SUM(R$197,-(R$244-R$243),R$204,R$214),SUM(S$197,-(S$244-S$243))/SUM(S$197,-(S$244-S$243),S$204,S$214)),SUM(S$197,-(S$244-S$243))/SUM(S$197,-(S$244-S$243),S$204,S$214))*SUM(T$186-T$229,T$248,T$257,T$279,T$317,-(T$244-T$243)))</f>
        <v>16.707257299811037</v>
      </c>
      <c r="U197" s="6">
        <f ca="1">SUM(U$244-U$243,IF(U$6=OFFSET(Assumptions!$B$8,0,$C$1),AVERAGE(SUM(R$197,-(R$244-R$243))/SUM(R$197,-(R$244-R$243),R$204,R$214),SUM(S$197,-(S$244-S$243))/SUM(S$197,-(S$244-S$243),S$204,S$214),SUM(T$197,-(T$244-T$243))/SUM(T$197,-(T$244-T$243),T$204,T$214)),SUM(T$197,-(T$244-T$243))/SUM(T$197,-(T$244-T$243),T$204,T$214))*SUM(U$186-U$229,U$248,U$257,U$279,U$317,-(U$244-U$243)))</f>
        <v>16.97671155683598</v>
      </c>
    </row>
    <row r="198" spans="1:21" x14ac:dyDescent="0.2">
      <c r="A198" s="1" t="s">
        <v>483</v>
      </c>
      <c r="B198" s="4" t="str">
        <f>$B$37</f>
        <v>From Fiscal</v>
      </c>
      <c r="D198" s="14">
        <f>'Fiscal Forecasts'!D$239</f>
        <v>2.9350000000000001</v>
      </c>
      <c r="E198" s="14">
        <f>'Fiscal Forecasts'!E$239</f>
        <v>2.9209999999999998</v>
      </c>
      <c r="F198" s="14">
        <f>'Fiscal Forecasts'!F$239</f>
        <v>2.8690000000000002</v>
      </c>
      <c r="G198" s="15">
        <f>'Fiscal Forecasts'!G$239</f>
        <v>2.9249999999999998</v>
      </c>
      <c r="H198" s="15">
        <f>'Fiscal Forecasts'!H$239</f>
        <v>3.008</v>
      </c>
      <c r="I198" s="15">
        <f>'Fiscal Forecasts'!I$239</f>
        <v>3.1539999999999999</v>
      </c>
      <c r="J198" s="15">
        <f>'Fiscal Forecasts'!J$239</f>
        <v>3.2810000000000001</v>
      </c>
      <c r="K198" s="15">
        <f>'Fiscal Forecasts'!K$239</f>
        <v>3.395</v>
      </c>
      <c r="L198" s="6">
        <f ca="1">IF(L$6=OFFSET(Assumptions!$B$8,0,$C$1),AVERAGE(I$198/SUM(I$198,I$205,I$215),J$198/SUM(J$198,J$205,J$215),K$198/SUM(K$198,K$205,K$215)),K$198/SUM(K$198,K$205,K$215))*SUM(L$280,L$318-L$230)</f>
        <v>3.5842846649242777</v>
      </c>
      <c r="M198" s="6">
        <f ca="1">IF(M$6=OFFSET(Assumptions!$B$8,0,$C$1),AVERAGE(J$198/SUM(J$198,J$205,J$215),K$198/SUM(K$198,K$205,K$215),L$198/SUM(L$198,L$205,L$215)),L$198/SUM(L$198,L$205,L$215))*SUM(M$280,M$318-M$230)</f>
        <v>3.7477100887213868</v>
      </c>
      <c r="N198" s="6">
        <f ca="1">IF(N$6=OFFSET(Assumptions!$B$8,0,$C$1),AVERAGE(K$198/SUM(K$198,K$205,K$215),L$198/SUM(L$198,L$205,L$215),M$198/SUM(M$198,M$205,M$215)),M$198/SUM(M$198,M$205,M$215))*SUM(N$280,N$318-N$230)</f>
        <v>3.914704465570523</v>
      </c>
      <c r="O198" s="6">
        <f ca="1">IF(O$6=OFFSET(Assumptions!$B$8,0,$C$1),AVERAGE(L$198/SUM(L$198,L$205,L$215),M$198/SUM(M$198,M$205,M$215),N$198/SUM(N$198,N$205,N$215)),N$198/SUM(N$198,N$205,N$215))*SUM(O$280,O$318-O$230)</f>
        <v>4.0859740551910582</v>
      </c>
      <c r="P198" s="6">
        <f ca="1">IF(P$6=OFFSET(Assumptions!$B$8,0,$C$1),AVERAGE(M$198/SUM(M$198,M$205,M$215),N$198/SUM(N$198,N$205,N$215),O$198/SUM(O$198,O$205,O$215)),O$198/SUM(O$198,O$205,O$215))*SUM(P$280,P$318-P$230)</f>
        <v>4.2630576057392915</v>
      </c>
      <c r="Q198" s="6">
        <f ca="1">IF(Q$6=OFFSET(Assumptions!$B$8,0,$C$1),AVERAGE(N$198/SUM(N$198,N$205,N$215),O$198/SUM(O$198,O$205,O$215),P$198/SUM(P$198,P$205,P$215)),P$198/SUM(P$198,P$205,P$215))*SUM(Q$280,Q$318-Q$230)</f>
        <v>4.4462389540797274</v>
      </c>
      <c r="R198" s="6">
        <f ca="1">IF(R$6=OFFSET(Assumptions!$B$8,0,$C$1),AVERAGE(O$198/SUM(O$198,O$205,O$215),P$198/SUM(P$198,P$205,P$215),Q$198/SUM(Q$198,Q$205,Q$215)),Q$198/SUM(Q$198,Q$205,Q$215))*SUM(R$280,R$318-R$230)</f>
        <v>4.6351999634698027</v>
      </c>
      <c r="S198" s="6">
        <f ca="1">IF(S$6=OFFSET(Assumptions!$B$8,0,$C$1),AVERAGE(P$198/SUM(P$198,P$205,P$215),Q$198/SUM(Q$198,Q$205,Q$215),R$198/SUM(R$198,R$205,R$215)),R$198/SUM(R$198,R$205,R$215))*SUM(S$280,S$318-S$230)</f>
        <v>4.8305091690802389</v>
      </c>
      <c r="T198" s="6">
        <f ca="1">IF(T$6=OFFSET(Assumptions!$B$8,0,$C$1),AVERAGE(Q$198/SUM(Q$198,Q$205,Q$215),R$198/SUM(R$198,R$205,R$215),S$198/SUM(S$198,S$205,S$215)),S$198/SUM(S$198,S$205,S$215))*SUM(T$280,T$318-T$230)</f>
        <v>5.0323403297241311</v>
      </c>
      <c r="U198" s="6">
        <f ca="1">IF(U$6=OFFSET(Assumptions!$B$8,0,$C$1),AVERAGE(R$198/SUM(R$198,R$205,R$215),S$198/SUM(S$198,S$205,S$215),T$198/SUM(T$198,T$205,T$215)),T$198/SUM(T$198,T$205,T$215))*SUM(U$280,U$318-U$230)</f>
        <v>5.2413036195118421</v>
      </c>
    </row>
    <row r="199" spans="1:21" x14ac:dyDescent="0.2">
      <c r="A199" s="1" t="s">
        <v>484</v>
      </c>
      <c r="B199" s="4" t="str">
        <f>$B$37</f>
        <v>From Fiscal</v>
      </c>
      <c r="D199" s="14">
        <f>'Fiscal Forecasts'!D$240</f>
        <v>-2.3E-2</v>
      </c>
      <c r="E199" s="14">
        <f>'Fiscal Forecasts'!E$240</f>
        <v>-2.9000000000000001E-2</v>
      </c>
      <c r="F199" s="14">
        <f>'Fiscal Forecasts'!F$240</f>
        <v>-3.7999999999999999E-2</v>
      </c>
      <c r="G199" s="15">
        <f>'Fiscal Forecasts'!G$240</f>
        <v>-3.5000000000000003E-2</v>
      </c>
      <c r="H199" s="15">
        <f>'Fiscal Forecasts'!H$240</f>
        <v>-3.4999999999999996E-2</v>
      </c>
      <c r="I199" s="15">
        <f>'Fiscal Forecasts'!I$240</f>
        <v>-3.5999999999999997E-2</v>
      </c>
      <c r="J199" s="15">
        <f>'Fiscal Forecasts'!J$240</f>
        <v>-3.6999999999999998E-2</v>
      </c>
      <c r="K199" s="15">
        <f>'Fiscal Forecasts'!K$240</f>
        <v>-3.5999999999999997E-2</v>
      </c>
      <c r="L199" s="6">
        <f ca="1">IF(L$6=OFFSET(Assumptions!$B$8,0,$C$1),AVERAGE(I$199/SUM(I$199,I$216),J$199/SUM(J$199,J$216),K$199/SUM(K$199,K$216)),K$199/SUM(K$199,K$216))*SUM(L$187,L$249,L$258,L$281,L$319)</f>
        <v>-3.7385674131876781E-2</v>
      </c>
      <c r="M199" s="6">
        <f ca="1">IF(M$6=OFFSET(Assumptions!$B$8,0,$C$1),AVERAGE(J$199/SUM(J$199,J$216),K$199/SUM(K$199,K$216),L$199/SUM(L$199,L$216)),L$199/SUM(L$199,L$216))*SUM(M$187,M$249,M$258,M$281,M$319)</f>
        <v>-3.8081188619262581E-2</v>
      </c>
      <c r="N199" s="6">
        <f ca="1">IF(N$6=OFFSET(Assumptions!$B$8,0,$C$1),AVERAGE(K$199/SUM(K$199,K$216),L$199/SUM(L$199,L$216),M$199/SUM(M$199,M$216)),M$199/SUM(M$199,M$216))*SUM(N$187,N$249,N$258,N$281,N$319)</f>
        <v>-3.8487358351150171E-2</v>
      </c>
      <c r="O199" s="6">
        <f ca="1">IF(O$6=OFFSET(Assumptions!$B$8,0,$C$1),AVERAGE(L$199/SUM(L$199,L$216),M$199/SUM(M$199,M$216),N$199/SUM(N$199,N$216)),N$199/SUM(N$199,N$216))*SUM(O$187,O$249,O$258,O$281,O$319)</f>
        <v>-3.8906285509896506E-2</v>
      </c>
      <c r="P199" s="6">
        <f ca="1">IF(P$6=OFFSET(Assumptions!$B$8,0,$C$1),AVERAGE(M$199/SUM(M$199,M$216),N$199/SUM(N$199,N$216),O$199/SUM(O$199,O$216)),O$199/SUM(O$199,O$216))*SUM(P$187,P$249,P$258,P$281,P$319)</f>
        <v>-3.9341017044869038E-2</v>
      </c>
      <c r="Q199" s="6">
        <f ca="1">IF(Q$6=OFFSET(Assumptions!$B$8,0,$C$1),AVERAGE(N$199/SUM(N$199,N$216),O$199/SUM(O$199,O$216),P$199/SUM(P$199,P$216)),P$199/SUM(P$199,P$216))*SUM(Q$187,Q$249,Q$258,Q$281,Q$319)</f>
        <v>-3.9790188757259391E-2</v>
      </c>
      <c r="R199" s="6">
        <f ca="1">IF(R$6=OFFSET(Assumptions!$B$8,0,$C$1),AVERAGE(O$199/SUM(O$199,O$216),P$199/SUM(P$199,P$216),Q$199/SUM(Q$199,Q$216)),Q$199/SUM(Q$199,Q$216))*SUM(R$187,R$249,R$258,R$281,R$319)</f>
        <v>-4.025823083133423E-2</v>
      </c>
      <c r="S199" s="6">
        <f ca="1">IF(S$6=OFFSET(Assumptions!$B$8,0,$C$1),AVERAGE(P$199/SUM(P$199,P$216),Q$199/SUM(Q$199,Q$216),R$199/SUM(R$199,R$216)),R$199/SUM(R$199,R$216))*SUM(S$187,S$249,S$258,S$281,S$319)</f>
        <v>-4.0735847863839166E-2</v>
      </c>
      <c r="T199" s="6">
        <f ca="1">IF(T$6=OFFSET(Assumptions!$B$8,0,$C$1),AVERAGE(Q$199/SUM(Q$199,Q$216),R$199/SUM(R$199,R$216),S$199/SUM(S$199,S$216)),S$199/SUM(S$199,S$216))*SUM(T$187,T$249,T$258,T$281,T$319)</f>
        <v>-4.1230874892094191E-2</v>
      </c>
      <c r="U199" s="6">
        <f ca="1">IF(U$6=OFFSET(Assumptions!$B$8,0,$C$1),AVERAGE(R$199/SUM(R$199,R$216),S$199/SUM(S$199,S$216),T$199/SUM(T$199,T$216)),T$199/SUM(T$199,T$216))*SUM(U$187,U$249,U$258,U$281,U$319)</f>
        <v>-4.1744844076281193E-2</v>
      </c>
    </row>
    <row r="200" spans="1:21" ht="15" x14ac:dyDescent="0.25">
      <c r="A200" s="2" t="s">
        <v>485</v>
      </c>
      <c r="D200" s="34">
        <f t="shared" ref="D200:U200" si="116">SUM(D$196:D$199)</f>
        <v>21.123999999999999</v>
      </c>
      <c r="E200" s="34">
        <f t="shared" si="116"/>
        <v>21.763000000000002</v>
      </c>
      <c r="F200" s="34">
        <f t="shared" si="116"/>
        <v>22.599</v>
      </c>
      <c r="G200" s="33">
        <f t="shared" si="116"/>
        <v>23.669</v>
      </c>
      <c r="H200" s="33">
        <f t="shared" si="116"/>
        <v>24.369</v>
      </c>
      <c r="I200" s="33">
        <f t="shared" si="116"/>
        <v>24.569999999999997</v>
      </c>
      <c r="J200" s="33">
        <f t="shared" si="116"/>
        <v>25.058</v>
      </c>
      <c r="K200" s="33">
        <f t="shared" si="116"/>
        <v>25.119</v>
      </c>
      <c r="L200" s="37">
        <f t="shared" ca="1" si="116"/>
        <v>25.696802071742788</v>
      </c>
      <c r="M200" s="37">
        <f t="shared" ca="1" si="116"/>
        <v>26.188480479367282</v>
      </c>
      <c r="N200" s="37">
        <f t="shared" ca="1" si="116"/>
        <v>26.580778627036079</v>
      </c>
      <c r="O200" s="37">
        <f t="shared" ca="1" si="116"/>
        <v>26.983433260714051</v>
      </c>
      <c r="P200" s="37">
        <f t="shared" ca="1" si="116"/>
        <v>27.399996928627342</v>
      </c>
      <c r="Q200" s="37">
        <f t="shared" ca="1" si="116"/>
        <v>27.827663423438704</v>
      </c>
      <c r="R200" s="37">
        <f t="shared" ca="1" si="116"/>
        <v>28.26413600555497</v>
      </c>
      <c r="S200" s="37">
        <f t="shared" ca="1" si="116"/>
        <v>28.715009902725978</v>
      </c>
      <c r="T200" s="37">
        <f t="shared" ca="1" si="116"/>
        <v>29.180668767484558</v>
      </c>
      <c r="U200" s="37">
        <f t="shared" ca="1" si="116"/>
        <v>29.663631197068781</v>
      </c>
    </row>
    <row r="201" spans="1:21" ht="15" x14ac:dyDescent="0.25">
      <c r="A201" s="2"/>
      <c r="D201" s="46"/>
      <c r="E201" s="46"/>
      <c r="F201" s="46"/>
      <c r="G201" s="47"/>
      <c r="H201" s="47"/>
      <c r="I201" s="47"/>
      <c r="J201" s="47"/>
      <c r="K201" s="47"/>
      <c r="L201" s="47"/>
      <c r="M201" s="47"/>
      <c r="N201" s="47"/>
      <c r="O201" s="47"/>
      <c r="P201" s="47"/>
      <c r="Q201" s="47"/>
      <c r="R201" s="47"/>
      <c r="S201" s="47"/>
      <c r="T201" s="47"/>
      <c r="U201" s="47"/>
    </row>
    <row r="202" spans="1:21" x14ac:dyDescent="0.2">
      <c r="A202" s="18" t="s">
        <v>1246</v>
      </c>
    </row>
    <row r="203" spans="1:21" x14ac:dyDescent="0.2">
      <c r="A203" s="1" t="s">
        <v>298</v>
      </c>
      <c r="B203" s="4" t="str">
        <f>$B$37</f>
        <v>From Fiscal</v>
      </c>
      <c r="D203" s="14">
        <f>'Fiscal Forecasts'!D$243</f>
        <v>1.2509999999999999</v>
      </c>
      <c r="E203" s="14">
        <f>'Fiscal Forecasts'!E$243</f>
        <v>1.306</v>
      </c>
      <c r="F203" s="14">
        <f>'Fiscal Forecasts'!F$243</f>
        <v>1.36</v>
      </c>
      <c r="G203" s="15">
        <f>'Fiscal Forecasts'!G$243</f>
        <v>1.4570000000000001</v>
      </c>
      <c r="H203" s="15">
        <f>'Fiscal Forecasts'!H$243</f>
        <v>1.5169999999999999</v>
      </c>
      <c r="I203" s="15">
        <f>'Fiscal Forecasts'!I$243</f>
        <v>1.569</v>
      </c>
      <c r="J203" s="15">
        <f>'Fiscal Forecasts'!J$243</f>
        <v>1.583</v>
      </c>
      <c r="K203" s="15">
        <f>'Fiscal Forecasts'!K$243</f>
        <v>1.6120000000000001</v>
      </c>
      <c r="L203" s="6">
        <f ca="1">L$414</f>
        <v>1.7973708696428234</v>
      </c>
      <c r="M203" s="6">
        <f t="shared" ref="M203:U203" ca="1" si="117">M$414</f>
        <v>1.9382766800531039</v>
      </c>
      <c r="N203" s="6">
        <f t="shared" ca="1" si="117"/>
        <v>2.1396382047744962</v>
      </c>
      <c r="O203" s="6">
        <f t="shared" ca="1" si="117"/>
        <v>2.3993109580861756</v>
      </c>
      <c r="P203" s="6">
        <f t="shared" ca="1" si="117"/>
        <v>2.714039059697011</v>
      </c>
      <c r="Q203" s="6">
        <f t="shared" ca="1" si="117"/>
        <v>3.0840080177976055</v>
      </c>
      <c r="R203" s="6">
        <f t="shared" ca="1" si="117"/>
        <v>3.4706255790127267</v>
      </c>
      <c r="S203" s="6">
        <f t="shared" ca="1" si="117"/>
        <v>3.8746409304825287</v>
      </c>
      <c r="T203" s="6">
        <f t="shared" ca="1" si="117"/>
        <v>4.296836972768471</v>
      </c>
      <c r="U203" s="6">
        <f t="shared" ca="1" si="117"/>
        <v>4.7380318369572816</v>
      </c>
    </row>
    <row r="204" spans="1:21" x14ac:dyDescent="0.2">
      <c r="A204" s="1" t="s">
        <v>272</v>
      </c>
      <c r="B204" s="4" t="str">
        <f>$B$37</f>
        <v>From Fiscal</v>
      </c>
      <c r="D204" s="14">
        <f>'Fiscal Forecasts'!D$244</f>
        <v>1.4319999999999999</v>
      </c>
      <c r="E204" s="14">
        <f>'Fiscal Forecasts'!E$244</f>
        <v>1.367</v>
      </c>
      <c r="F204" s="14">
        <f>'Fiscal Forecasts'!F$244</f>
        <v>1.3540000000000001</v>
      </c>
      <c r="G204" s="15">
        <f>'Fiscal Forecasts'!G$244</f>
        <v>1.4350000000000001</v>
      </c>
      <c r="H204" s="15">
        <f>'Fiscal Forecasts'!H$244</f>
        <v>1.466</v>
      </c>
      <c r="I204" s="15">
        <f>'Fiscal Forecasts'!I$244</f>
        <v>1.5069999999999999</v>
      </c>
      <c r="J204" s="15">
        <f>'Fiscal Forecasts'!J$244</f>
        <v>1.554</v>
      </c>
      <c r="K204" s="15">
        <f>'Fiscal Forecasts'!K$244</f>
        <v>1.589</v>
      </c>
      <c r="L204" s="6">
        <f ca="1">IF(L$6=OFFSET(Assumptions!$B$8,0,$C$1),AVERAGE(I$204/SUM(I$204,I$205),J$204/SUM(J$204,J$205),K$204/SUM(K$204,K$205)),K$204/SUM(K$204,K$205))*(L$417-L$414)</f>
        <v>1.5955789385163859</v>
      </c>
      <c r="M204" s="6">
        <f ca="1">IF(M$6=OFFSET(Assumptions!$B$8,0,$C$1),AVERAGE(J$204/SUM(J$204,J$205),K$204/SUM(K$204,K$205),L$204/SUM(L$204,L$205)),L$204/SUM(L$204,L$205))*(M$417-M$414)</f>
        <v>1.6131866377380739</v>
      </c>
      <c r="N204" s="6">
        <f ca="1">IF(N$6=OFFSET(Assumptions!$B$8,0,$C$1),AVERAGE(K$204/SUM(K$204,K$205),L$204/SUM(L$204,L$205),M$204/SUM(M$204,M$205)),M$204/SUM(M$204,M$205))*(N$417-N$414)</f>
        <v>1.6330401588545587</v>
      </c>
      <c r="O204" s="6">
        <f ca="1">IF(O$6=OFFSET(Assumptions!$B$8,0,$C$1),AVERAGE(L$204/SUM(L$204,L$205),M$204/SUM(M$204,M$205),N$204/SUM(N$204,N$205)),N$204/SUM(N$204,N$205))*(O$417-O$414)</f>
        <v>1.6537783193062745</v>
      </c>
      <c r="P204" s="6">
        <f ca="1">IF(P$6=OFFSET(Assumptions!$B$8,0,$C$1),AVERAGE(M$204/SUM(M$204,M$205),N$204/SUM(N$204,N$205),O$204/SUM(O$204,O$205)),O$204/SUM(O$204,O$205))*(P$417-P$414)</f>
        <v>1.675423771105474</v>
      </c>
      <c r="Q204" s="6">
        <f ca="1">IF(Q$6=OFFSET(Assumptions!$B$8,0,$C$1),AVERAGE(N$204/SUM(N$204,N$205),O$204/SUM(O$204,O$205),P$204/SUM(P$204,P$205)),P$204/SUM(P$204,P$205))*(Q$417-Q$414)</f>
        <v>1.6980073240643938</v>
      </c>
      <c r="R204" s="6">
        <f ca="1">IF(R$6=OFFSET(Assumptions!$B$8,0,$C$1),AVERAGE(O$204/SUM(O$204,O$205),P$204/SUM(P$204,P$205),Q$204/SUM(Q$204,Q$205)),Q$204/SUM(Q$204,Q$205))*(R$417-R$414)</f>
        <v>1.7215612824192739</v>
      </c>
      <c r="S204" s="6">
        <f ca="1">IF(S$6=OFFSET(Assumptions!$B$8,0,$C$1),AVERAGE(P$204/SUM(P$204,P$205),Q$204/SUM(Q$204,Q$205),R$204/SUM(R$204,R$205)),R$204/SUM(R$204,R$205))*(S$417-S$414)</f>
        <v>1.7461162806618027</v>
      </c>
      <c r="T204" s="6">
        <f ca="1">IF(T$6=OFFSET(Assumptions!$B$8,0,$C$1),AVERAGE(Q$204/SUM(Q$204,Q$205),R$204/SUM(R$204,R$205),S$204/SUM(S$204,S$205)),S$204/SUM(S$204,S$205))*(T$417-T$414)</f>
        <v>1.7717059346646908</v>
      </c>
      <c r="U204" s="6">
        <f ca="1">IF(U$6=OFFSET(Assumptions!$B$8,0,$C$1),AVERAGE(R$204/SUM(R$204,R$205),S$204/SUM(S$204,S$205),T$204/SUM(T$204,T$205)),T$204/SUM(T$204,T$205))*(U$417-U$414)</f>
        <v>1.7983648018157361</v>
      </c>
    </row>
    <row r="205" spans="1:21" x14ac:dyDescent="0.2">
      <c r="A205" s="1" t="s">
        <v>483</v>
      </c>
      <c r="B205" s="4" t="str">
        <f>$B$37</f>
        <v>From Fiscal</v>
      </c>
      <c r="D205" s="14">
        <f>'Fiscal Forecasts'!D$245</f>
        <v>1.3620000000000001</v>
      </c>
      <c r="E205" s="14">
        <f>'Fiscal Forecasts'!E$245</f>
        <v>1.494</v>
      </c>
      <c r="F205" s="14">
        <f>'Fiscal Forecasts'!F$245</f>
        <v>1.647</v>
      </c>
      <c r="G205" s="15">
        <f>'Fiscal Forecasts'!G$245</f>
        <v>1.885</v>
      </c>
      <c r="H205" s="15">
        <f>'Fiscal Forecasts'!H$245</f>
        <v>1.857</v>
      </c>
      <c r="I205" s="15">
        <f>'Fiscal Forecasts'!I$245</f>
        <v>1.774</v>
      </c>
      <c r="J205" s="15">
        <f>'Fiscal Forecasts'!J$245</f>
        <v>1.784</v>
      </c>
      <c r="K205" s="15">
        <f>'Fiscal Forecasts'!K$245</f>
        <v>1.782</v>
      </c>
      <c r="L205" s="6">
        <f ca="1">IF(L$6=OFFSET(Assumptions!$B$8,0,$C$1),AVERAGE(I$205/SUM(I$204,I$205),J$205/SUM(J$204,J$205),K$205/SUM(K$204,K$205)),K$205/SUM(K$204,K$205))*(L$417-L$414)</f>
        <v>1.8327436738501846</v>
      </c>
      <c r="M205" s="6">
        <f ca="1">IF(M$6=OFFSET(Assumptions!$B$8,0,$C$1),AVERAGE(J$205/SUM(J$204,J$205),K$205/SUM(K$204,K$205),L$205/SUM(L$204,L$205)),L$205/SUM(L$204,L$205))*(M$417-M$414)</f>
        <v>1.8529685581104463</v>
      </c>
      <c r="N205" s="6">
        <f ca="1">IF(N$6=OFFSET(Assumptions!$B$8,0,$C$1),AVERAGE(K$205/SUM(K$204,K$205),L$205/SUM(L$204,L$205),M$205/SUM(M$204,M$205)),M$205/SUM(M$204,M$205))*(N$417-N$414)</f>
        <v>1.8757730802506805</v>
      </c>
      <c r="O205" s="6">
        <f ca="1">IF(O$6=OFFSET(Assumptions!$B$8,0,$C$1),AVERAGE(L$205/SUM(L$204,L$205),M$205/SUM(M$204,M$205),N$205/SUM(N$204,N$205)),N$205/SUM(N$204,N$205))*(O$417-O$414)</f>
        <v>1.8995937333426005</v>
      </c>
      <c r="P205" s="6">
        <f ca="1">IF(P$6=OFFSET(Assumptions!$B$8,0,$C$1),AVERAGE(M$205/SUM(M$204,M$205),N$205/SUM(N$204,N$205),O$205/SUM(O$204,O$205)),O$205/SUM(O$204,O$205))*(P$417-P$414)</f>
        <v>1.9244565363634893</v>
      </c>
      <c r="Q205" s="6">
        <f ca="1">IF(Q$6=OFFSET(Assumptions!$B$8,0,$C$1),AVERAGE(N$205/SUM(N$204,N$205),O$205/SUM(O$204,O$205),P$205/SUM(P$204,P$205)),P$205/SUM(P$204,P$205))*(Q$417-Q$414)</f>
        <v>1.950396878655176</v>
      </c>
      <c r="R205" s="6">
        <f ca="1">IF(R$6=OFFSET(Assumptions!$B$8,0,$C$1),AVERAGE(O$205/SUM(O$204,O$205),P$205/SUM(P$204,P$205),Q$205/SUM(Q$204,Q$205)),Q$205/SUM(Q$204,Q$205))*(R$417-R$414)</f>
        <v>1.9774518661126914</v>
      </c>
      <c r="S205" s="6">
        <f ca="1">IF(S$6=OFFSET(Assumptions!$B$8,0,$C$1),AVERAGE(P$205/SUM(P$204,P$205),Q$205/SUM(Q$204,Q$205),R$205/SUM(R$204,R$205)),R$205/SUM(R$204,R$205))*(S$417-S$414)</f>
        <v>2.0056566866979031</v>
      </c>
      <c r="T205" s="6">
        <f ca="1">IF(T$6=OFFSET(Assumptions!$B$8,0,$C$1),AVERAGE(Q$205/SUM(Q$204,Q$205),R$205/SUM(R$204,R$205),S$205/SUM(S$204,S$205)),S$205/SUM(S$204,S$205))*(T$417-T$414)</f>
        <v>2.035049952902217</v>
      </c>
      <c r="U205" s="6">
        <f ca="1">IF(U$6=OFFSET(Assumptions!$B$8,0,$C$1),AVERAGE(R$205/SUM(R$204,R$205),S$205/SUM(S$204,S$205),T$205/SUM(T$204,T$205)),T$205/SUM(T$204,T$205))*(U$417-U$414)</f>
        <v>2.0656713586776787</v>
      </c>
    </row>
    <row r="206" spans="1:21" ht="15" x14ac:dyDescent="0.25">
      <c r="A206" s="2" t="s">
        <v>1280</v>
      </c>
      <c r="D206" s="34">
        <f t="shared" ref="D206:U206" si="118">SUM(D$203:D$205)</f>
        <v>4.0449999999999999</v>
      </c>
      <c r="E206" s="34">
        <f t="shared" si="118"/>
        <v>4.1669999999999998</v>
      </c>
      <c r="F206" s="34">
        <f t="shared" si="118"/>
        <v>4.3610000000000007</v>
      </c>
      <c r="G206" s="33">
        <f t="shared" si="118"/>
        <v>4.7770000000000001</v>
      </c>
      <c r="H206" s="33">
        <f t="shared" si="118"/>
        <v>4.84</v>
      </c>
      <c r="I206" s="33">
        <f t="shared" si="118"/>
        <v>4.8499999999999996</v>
      </c>
      <c r="J206" s="33">
        <f t="shared" si="118"/>
        <v>4.9210000000000003</v>
      </c>
      <c r="K206" s="33">
        <f t="shared" si="118"/>
        <v>4.9830000000000005</v>
      </c>
      <c r="L206" s="37">
        <f t="shared" ca="1" si="118"/>
        <v>5.2256934820093939</v>
      </c>
      <c r="M206" s="37">
        <f t="shared" ca="1" si="118"/>
        <v>5.4044318759016239</v>
      </c>
      <c r="N206" s="37">
        <f t="shared" ca="1" si="118"/>
        <v>5.6484514438797353</v>
      </c>
      <c r="O206" s="37">
        <f t="shared" ca="1" si="118"/>
        <v>5.9526830107350506</v>
      </c>
      <c r="P206" s="37">
        <f t="shared" ca="1" si="118"/>
        <v>6.3139193671659744</v>
      </c>
      <c r="Q206" s="37">
        <f t="shared" ca="1" si="118"/>
        <v>6.7324122205171752</v>
      </c>
      <c r="R206" s="37">
        <f t="shared" ca="1" si="118"/>
        <v>7.169638727544692</v>
      </c>
      <c r="S206" s="37">
        <f t="shared" ca="1" si="118"/>
        <v>7.6264138978422347</v>
      </c>
      <c r="T206" s="37">
        <f t="shared" ca="1" si="118"/>
        <v>8.1035928603353788</v>
      </c>
      <c r="U206" s="37">
        <f t="shared" ca="1" si="118"/>
        <v>8.6020679974506962</v>
      </c>
    </row>
    <row r="207" spans="1:21" ht="15" x14ac:dyDescent="0.25">
      <c r="A207" s="2"/>
      <c r="D207" s="46"/>
      <c r="E207" s="46"/>
      <c r="F207" s="46"/>
      <c r="G207" s="47"/>
      <c r="H207" s="47"/>
      <c r="I207" s="47"/>
      <c r="J207" s="47"/>
      <c r="K207" s="47"/>
      <c r="L207" s="48"/>
      <c r="M207" s="48"/>
      <c r="N207" s="48"/>
      <c r="O207" s="48"/>
      <c r="P207" s="48"/>
      <c r="Q207" s="48"/>
      <c r="R207" s="48"/>
      <c r="S207" s="48"/>
      <c r="T207" s="48"/>
      <c r="U207" s="48"/>
    </row>
    <row r="208" spans="1:21" ht="15" x14ac:dyDescent="0.25">
      <c r="A208" s="18" t="s">
        <v>1281</v>
      </c>
      <c r="D208" s="46"/>
      <c r="E208" s="46"/>
      <c r="F208" s="46"/>
      <c r="G208" s="47"/>
      <c r="H208" s="47"/>
      <c r="I208" s="47"/>
      <c r="J208" s="47"/>
      <c r="K208" s="47"/>
      <c r="L208" s="48"/>
      <c r="M208" s="48"/>
      <c r="N208" s="48"/>
      <c r="O208" s="48"/>
      <c r="P208" s="48"/>
      <c r="Q208" s="48"/>
      <c r="R208" s="48"/>
      <c r="S208" s="48"/>
      <c r="T208" s="48"/>
      <c r="U208" s="48"/>
    </row>
    <row r="209" spans="1:21" ht="15" x14ac:dyDescent="0.25">
      <c r="A209" s="2" t="s">
        <v>1305</v>
      </c>
      <c r="B209" s="4" t="str">
        <f>$B$37</f>
        <v>From Fiscal</v>
      </c>
      <c r="D209" s="39">
        <f>'Fiscal Forecasts'!D$248</f>
        <v>0.19000000000000017</v>
      </c>
      <c r="E209" s="39">
        <f>'Fiscal Forecasts'!E$248</f>
        <v>0.22299999999999986</v>
      </c>
      <c r="F209" s="39">
        <f>'Fiscal Forecasts'!F$248</f>
        <v>0.24399999999999999</v>
      </c>
      <c r="G209" s="38">
        <f>'Fiscal Forecasts'!G$248</f>
        <v>0.27300000000000002</v>
      </c>
      <c r="H209" s="38">
        <f>'Fiscal Forecasts'!H$248</f>
        <v>0.30499999999999999</v>
      </c>
      <c r="I209" s="38">
        <f>'Fiscal Forecasts'!I$248</f>
        <v>0.316</v>
      </c>
      <c r="J209" s="38">
        <f>'Fiscal Forecasts'!J$248</f>
        <v>0.312</v>
      </c>
      <c r="K209" s="38">
        <f>'Fiscal Forecasts'!K$248</f>
        <v>0.32500000000000001</v>
      </c>
      <c r="L209" s="7">
        <f ca="1">IF(L$6=OFFSET(Assumptions!$B$8,0,$C$1),AVERAGE(I$209/I$426,J$209/J$426,K$209/K$426),K$209/K$426)*L$426</f>
        <v>0.33424608545268103</v>
      </c>
      <c r="M209" s="7">
        <f ca="1">IF(M$6=OFFSET(Assumptions!$B$8,0,$C$1),AVERAGE(J$209/J$426,K$209/K$426,L$209/L$426),L$209/L$426)*M$426</f>
        <v>0.35529343010968761</v>
      </c>
      <c r="N209" s="7">
        <f ca="1">IF(N$6=OFFSET(Assumptions!$B$8,0,$C$1),AVERAGE(K$209/K$426,L$209/L$426,M$209/M$426),M$209/M$426)*N$426</f>
        <v>0.37567408175748279</v>
      </c>
      <c r="O209" s="7">
        <f ca="1">IF(O$6=OFFSET(Assumptions!$B$8,0,$C$1),AVERAGE(L$209/L$426,M$209/M$426,N$209/N$426),N$209/N$426)*O$426</f>
        <v>0.3952753731262037</v>
      </c>
      <c r="P209" s="7">
        <f ca="1">IF(P$6=OFFSET(Assumptions!$B$8,0,$C$1),AVERAGE(M$209/M$426,N$209/N$426,O$209/O$426),O$209/O$426)*P$426</f>
        <v>0.41405777715894332</v>
      </c>
      <c r="Q209" s="7">
        <f ca="1">IF(Q$6=OFFSET(Assumptions!$B$8,0,$C$1),AVERAGE(N$209/N$426,O$209/O$426,P$209/P$426),P$209/P$426)*Q$426</f>
        <v>0.43184965879621229</v>
      </c>
      <c r="R209" s="7">
        <f ca="1">IF(R$6=OFFSET(Assumptions!$B$8,0,$C$1),AVERAGE(O$209/O$426,P$209/P$426,Q$209/Q$426),Q$209/Q$426)*R$426</f>
        <v>0.45020320801327157</v>
      </c>
      <c r="S209" s="7">
        <f ca="1">IF(S$6=OFFSET(Assumptions!$B$8,0,$C$1),AVERAGE(P$209/P$426,Q$209/Q$426,R$209/R$426),R$209/R$426)*S$426</f>
        <v>0.46917308689098564</v>
      </c>
      <c r="T209" s="7">
        <f ca="1">IF(T$6=OFFSET(Assumptions!$B$8,0,$C$1),AVERAGE(Q$209/Q$426,R$209/R$426,S$209/S$426),S$209/S$426)*T$426</f>
        <v>0.4887765576221052</v>
      </c>
      <c r="U209" s="7">
        <f ca="1">IF(U$6=OFFSET(Assumptions!$B$8,0,$C$1),AVERAGE(R$209/R$426,S$209/S$426,T$209/T$426),T$209/T$426)*U$426</f>
        <v>0.50907288034865228</v>
      </c>
    </row>
    <row r="210" spans="1:21" ht="15" x14ac:dyDescent="0.25">
      <c r="A210" s="2" t="s">
        <v>1282</v>
      </c>
      <c r="B210" s="4" t="str">
        <f>$B$37</f>
        <v>From Fiscal</v>
      </c>
      <c r="D210" s="39">
        <f>-'Fiscal Forecasts'!D$98</f>
        <v>0.79700000000000004</v>
      </c>
      <c r="E210" s="39">
        <f>-'Fiscal Forecasts'!E$98</f>
        <v>0.70799999999999996</v>
      </c>
      <c r="F210" s="39">
        <f>-'Fiscal Forecasts'!F$98</f>
        <v>0.81399999999999995</v>
      </c>
      <c r="G210" s="38">
        <f>-'Fiscal Forecasts'!G$98</f>
        <v>0.72</v>
      </c>
      <c r="H210" s="38">
        <f>-'Fiscal Forecasts'!H$98</f>
        <v>0.72899999999999998</v>
      </c>
      <c r="I210" s="38">
        <f>-'Fiscal Forecasts'!I$98</f>
        <v>0.72499999999999998</v>
      </c>
      <c r="J210" s="38">
        <f>-'Fiscal Forecasts'!J$98</f>
        <v>0.73099999999999998</v>
      </c>
      <c r="K210" s="38">
        <f>-'Fiscal Forecasts'!K$98</f>
        <v>0.751</v>
      </c>
      <c r="L210" s="7">
        <f ca="1">IF(L$6=OFFSET(Assumptions!$B$8,0,$C$1),AVERAGE(I$210/I$429,J$210/J$429,K$210/K$429),K$210/K$429)*L$429</f>
        <v>0.77863412044996039</v>
      </c>
      <c r="M210" s="7">
        <f ca="1">IF(M$6=OFFSET(Assumptions!$B$8,0,$C$1),AVERAGE(J$210/J$429,K$210/K$429,L$210/L$429),L$210/L$429)*M$429</f>
        <v>0.82547983124444568</v>
      </c>
      <c r="N210" s="7">
        <f ca="1">IF(N$6=OFFSET(Assumptions!$B$8,0,$C$1),AVERAGE(K$210/K$429,L$210/L$429,M$210/M$429),M$210/M$429)*N$429</f>
        <v>0.87114826183628291</v>
      </c>
      <c r="O210" s="7">
        <f ca="1">IF(O$6=OFFSET(Assumptions!$B$8,0,$C$1),AVERAGE(L$210/L$429,M$210/M$429,N$210/N$429),N$210/N$429)*O$429</f>
        <v>0.91544434872048175</v>
      </c>
      <c r="P210" s="7">
        <f ca="1">IF(P$6=OFFSET(Assumptions!$B$8,0,$C$1),AVERAGE(M$210/M$429,N$210/N$429,O$210/O$429),O$210/O$429)*P$429</f>
        <v>0.95834490489573432</v>
      </c>
      <c r="Q210" s="7">
        <f ca="1">IF(Q$6=OFFSET(Assumptions!$B$8,0,$C$1),AVERAGE(N$210/N$429,O$210/O$429,P$210/P$429),P$210/P$429)*Q$429</f>
        <v>0.99952456642166543</v>
      </c>
      <c r="R210" s="7">
        <f ca="1">IF(R$6=OFFSET(Assumptions!$B$8,0,$C$1),AVERAGE(O$210/O$429,P$210/P$429,Q$210/Q$429),Q$210/Q$429)*R$429</f>
        <v>1.0420042186566965</v>
      </c>
      <c r="S210" s="7">
        <f ca="1">IF(S$6=OFFSET(Assumptions!$B$8,0,$C$1),AVERAGE(P$210/P$429,Q$210/Q$429,R$210/R$429),R$210/R$429)*S$429</f>
        <v>1.0859103780668309</v>
      </c>
      <c r="T210" s="7">
        <f ca="1">IF(T$6=OFFSET(Assumptions!$B$8,0,$C$1),AVERAGE(Q$210/Q$429,R$210/R$429,S$210/S$429),S$210/S$429)*T$429</f>
        <v>1.1312829983382029</v>
      </c>
      <c r="U210" s="7">
        <f ca="1">IF(U$6=OFFSET(Assumptions!$B$8,0,$C$1),AVERAGE(R$210/R$429,S$210/S$429,T$210/T$429),T$210/T$429)*U$429</f>
        <v>1.1782592382401993</v>
      </c>
    </row>
    <row r="211" spans="1:21" ht="15" x14ac:dyDescent="0.25">
      <c r="A211" s="2"/>
      <c r="D211" s="46"/>
      <c r="E211" s="46"/>
      <c r="F211" s="46"/>
      <c r="G211" s="47"/>
      <c r="H211" s="47"/>
      <c r="I211" s="47"/>
      <c r="J211" s="47"/>
      <c r="K211" s="47"/>
      <c r="L211" s="48"/>
      <c r="M211" s="48"/>
      <c r="N211" s="48"/>
      <c r="O211" s="48"/>
      <c r="P211" s="48"/>
      <c r="Q211" s="48"/>
      <c r="R211" s="48"/>
      <c r="S211" s="48"/>
      <c r="T211" s="48"/>
      <c r="U211" s="48"/>
    </row>
    <row r="212" spans="1:21" x14ac:dyDescent="0.2">
      <c r="A212" s="18" t="s">
        <v>148</v>
      </c>
    </row>
    <row r="213" spans="1:21" x14ac:dyDescent="0.2">
      <c r="A213" s="1" t="s">
        <v>298</v>
      </c>
      <c r="B213" s="4" t="str">
        <f>$B$37</f>
        <v>From Fiscal</v>
      </c>
      <c r="D213" s="14">
        <f>'Fiscal Forecasts'!D$253</f>
        <v>37.048000000000002</v>
      </c>
      <c r="E213" s="14">
        <f>'Fiscal Forecasts'!E$253</f>
        <v>38.055</v>
      </c>
      <c r="F213" s="14">
        <f>'Fiscal Forecasts'!F$253</f>
        <v>39.283000000000001</v>
      </c>
      <c r="G213" s="15">
        <f>'Fiscal Forecasts'!G$253 +IF($C$2="Yes",'Fiscal Forecast Adjuster'!C$24/1000,0)</f>
        <v>43.21</v>
      </c>
      <c r="H213" s="15">
        <f>'Fiscal Forecasts'!H$253 +IF($C$2="Yes",'Fiscal Forecast Adjuster'!D$24/1000,0)</f>
        <v>45.377000000000002</v>
      </c>
      <c r="I213" s="15">
        <f>'Fiscal Forecasts'!I$253 +IF($C$2="Yes",'Fiscal Forecast Adjuster'!E$24/1000,0)</f>
        <v>44.613</v>
      </c>
      <c r="J213" s="15">
        <f>'Fiscal Forecasts'!J$253 +IF($C$2="Yes",'Fiscal Forecast Adjuster'!F$24/1000,0)</f>
        <v>45.209000000000003</v>
      </c>
      <c r="K213" s="15">
        <f>'Fiscal Forecasts'!K$253 +IF($C$2="Yes",'Fiscal Forecast Adjuster'!G$24/1000,0)</f>
        <v>44.869</v>
      </c>
      <c r="L213" s="6">
        <f ca="1">SUM(-L$203,L$315,IF(L$6=OFFSET(Assumptions!$B$8,0,$C$1),AVERAGE(SUM(I$203,I$213,-I$315)/SUM(I$196,I$203,I$213,-I$243,-I$315),SUM(J$203,J$213,-J$315)/SUM(J$196,J$203,J$213,-J$243,-J$315),SUM(K$203,K$213,-K$315)/SUM(K$196,K$203,K$213,-K$243,-K$315)),SUM(K$203,K$213,-K$315)/SUM(K$196,K$203,K$213,-K$243,-K$315))*SUM(-L$247,-L$255,L$314))</f>
        <v>44.943646688935999</v>
      </c>
      <c r="M213" s="6">
        <f ca="1">SUM(-M$203,M$315,IF(M$6=OFFSET(Assumptions!$B$8,0,$C$1),AVERAGE(SUM(J$203,J$213,-J$315)/SUM(J$196,J$203,J$213,-J$243,-J$315),SUM(K$203,K$213,-K$315)/SUM(K$196,K$203,K$213,-K$243,-K$315),SUM(L$203,L$213,-L$315)/SUM(L$196,L$203,L$213,-L$243,-L$315)),SUM(L$203,L$213,-L$315)/SUM(L$196,L$203,L$213,-L$243,-L$315))*SUM(-M$247,-M$255,M$314))</f>
        <v>45.298765003980648</v>
      </c>
      <c r="N213" s="6">
        <f ca="1">SUM(-N$203,N$315,IF(N$6=OFFSET(Assumptions!$B$8,0,$C$1),AVERAGE(SUM(K$203,K$213,-K$315)/SUM(K$196,K$203,K$213,-K$243,-K$315),SUM(L$203,L$213,-L$315)/SUM(L$196,L$203,L$213,-L$243,-L$315),SUM(M$203,M$213,-M$315)/SUM(M$196,M$203,M$213,-M$243,-M$315)),SUM(M$203,M$213,-M$315)/SUM(M$196,M$203,M$213,-M$243,-M$315))*SUM(-N$247,-N$255,N$314))</f>
        <v>45.354429648708134</v>
      </c>
      <c r="O213" s="6">
        <f ca="1">SUM(-O$203,O$315,IF(O$6=OFFSET(Assumptions!$B$8,0,$C$1),AVERAGE(SUM(L$203,L$213,-L$315)/SUM(L$196,L$203,L$213,-L$243,-L$315),SUM(M$203,M$213,-M$315)/SUM(M$196,M$203,M$213,-M$243,-M$315),SUM(N$203,N$213,-N$315)/SUM(N$196,N$203,N$213,-N$243,-N$315)),SUM(N$203,N$213,-N$315)/SUM(N$196,N$203,N$213,-N$243,-N$315))*SUM(-O$247,-O$255,O$314))</f>
        <v>45.359365566223893</v>
      </c>
      <c r="P213" s="6">
        <f ca="1">SUM(-P$203,P$315,IF(P$6=OFFSET(Assumptions!$B$8,0,$C$1),AVERAGE(SUM(M$203,M$213,-M$315)/SUM(M$196,M$203,M$213,-M$243,-M$315),SUM(N$203,N$213,-N$315)/SUM(N$196,N$203,N$213,-N$243,-N$315),SUM(O$203,O$213,-O$315)/SUM(O$196,O$203,O$213,-O$243,-O$315)),SUM(O$203,O$213,-O$315)/SUM(O$196,O$203,O$213,-O$243,-O$315))*SUM(-P$247,-P$255,P$314))</f>
        <v>45.32072430040018</v>
      </c>
      <c r="Q213" s="6">
        <f ca="1">SUM(-Q$203,Q$315,IF(Q$6=OFFSET(Assumptions!$B$8,0,$C$1),AVERAGE(SUM(N$203,N$213,-N$315)/SUM(N$196,N$203,N$213,-N$243,-N$315),SUM(O$203,O$213,-O$315)/SUM(O$196,O$203,O$213,-O$243,-O$315),SUM(P$203,P$213,-P$315)/SUM(P$196,P$203,P$213,-P$243,-P$315)),SUM(P$203,P$213,-P$315)/SUM(P$196,P$203,P$213,-P$243,-P$315))*SUM(-Q$247,-Q$255,Q$314))</f>
        <v>45.229052589610255</v>
      </c>
      <c r="R213" s="6">
        <f ca="1">SUM(-R$203,R$315,IF(R$6=OFFSET(Assumptions!$B$8,0,$C$1),AVERAGE(SUM(O$203,O$213,-O$315)/SUM(O$196,O$203,O$213,-O$243,-O$315),SUM(P$203,P$213,-P$315)/SUM(P$196,P$203,P$213,-P$243,-P$315),SUM(Q$203,Q$213,-Q$315)/SUM(Q$196,Q$203,Q$213,-Q$243,-Q$315)),SUM(Q$203,Q$213,-Q$315)/SUM(Q$196,Q$203,Q$213,-Q$243,-Q$315))*SUM(-R$247,-R$255,R$314))</f>
        <v>45.126877969597388</v>
      </c>
      <c r="S213" s="6">
        <f ca="1">SUM(-S$203,S$315,IF(S$6=OFFSET(Assumptions!$B$8,0,$C$1),AVERAGE(SUM(P$203,P$213,-P$315)/SUM(P$196,P$203,P$213,-P$243,-P$315),SUM(Q$203,Q$213,-Q$315)/SUM(Q$196,Q$203,Q$213,-Q$243,-Q$315),SUM(R$203,R$213,-R$315)/SUM(R$196,R$203,R$213,-R$243,-R$315)),SUM(R$203,R$213,-R$315)/SUM(R$196,R$203,R$213,-R$243,-R$315))*SUM(-S$247,-S$255,S$314))</f>
        <v>45.014713842003715</v>
      </c>
      <c r="T213" s="6">
        <f ca="1">SUM(-T$203,T$315,IF(T$6=OFFSET(Assumptions!$B$8,0,$C$1),AVERAGE(SUM(Q$203,Q$213,-Q$315)/SUM(Q$196,Q$203,Q$213,-Q$243,-Q$315),SUM(R$203,R$213,-R$315)/SUM(R$196,R$203,R$213,-R$243,-R$315),SUM(S$203,S$213,-S$315)/SUM(S$196,S$203,S$213,-S$243,-S$315)),SUM(S$203,S$213,-S$315)/SUM(S$196,S$203,S$213,-S$243,-S$315))*SUM(-T$247,-T$255,T$314))</f>
        <v>44.893139292260443</v>
      </c>
      <c r="U213" s="6">
        <f ca="1">SUM(-U$203,U$315,IF(U$6=OFFSET(Assumptions!$B$8,0,$C$1),AVERAGE(SUM(R$203,R$213,-R$315)/SUM(R$196,R$203,R$213,-R$243,-R$315),SUM(S$203,S$213,-S$315)/SUM(S$196,S$203,S$213,-S$243,-S$315),SUM(T$203,T$213,-T$315)/SUM(T$196,T$203,T$213,-T$243,-T$315)),SUM(T$203,T$213,-T$315)/SUM(T$196,T$203,T$213,-T$243,-T$315))*SUM(-U$247,-U$255,U$314))</f>
        <v>44.76112594009733</v>
      </c>
    </row>
    <row r="214" spans="1:21" x14ac:dyDescent="0.2">
      <c r="A214" s="1" t="s">
        <v>272</v>
      </c>
      <c r="B214" s="4" t="str">
        <f>$B$37</f>
        <v>From Fiscal</v>
      </c>
      <c r="D214" s="14">
        <f>'Fiscal Forecasts'!D$254</f>
        <v>18.233000000000001</v>
      </c>
      <c r="E214" s="14">
        <f>'Fiscal Forecasts'!E$254</f>
        <v>18.931999999999999</v>
      </c>
      <c r="F214" s="14">
        <f>'Fiscal Forecasts'!F$254</f>
        <v>19.826000000000001</v>
      </c>
      <c r="G214" s="15">
        <f>'Fiscal Forecasts'!G$254</f>
        <v>21.094999999999999</v>
      </c>
      <c r="H214" s="15">
        <f>'Fiscal Forecasts'!H$254</f>
        <v>22.09</v>
      </c>
      <c r="I214" s="15">
        <f>'Fiscal Forecasts'!I$254</f>
        <v>21.9</v>
      </c>
      <c r="J214" s="15">
        <f>'Fiscal Forecasts'!J$254</f>
        <v>22.204999999999998</v>
      </c>
      <c r="K214" s="15">
        <f>'Fiscal Forecasts'!K$254</f>
        <v>21.79</v>
      </c>
      <c r="L214" s="6">
        <f ca="1">SUM(-L$204,IF(L$6=OFFSET(Assumptions!$B$8,0,$C$1),AVERAGE(SUM(I$204,I$214)/SUM(I$197,-(I$244-I$243),I$204,I$214),SUM(J$204,J$214)/SUM(J$197,-(J$244-J$243),J$204,J$214),SUM(K$204,K$214)/SUM(K$197,-(K$244-K$243),K$204,K$214)),SUM(K$204,K$214)/SUM(K$197,-(K$244-K$243),K$204,K$214))*SUM(L$186-L$229,L$248,L$257,L$279,L$317,-(L$244-L$243)))</f>
        <v>22.731096045107922</v>
      </c>
      <c r="M214" s="6">
        <f ca="1">SUM(-M$204,IF(M$6=OFFSET(Assumptions!$B$8,0,$C$1),AVERAGE(SUM(J$204,J$214)/SUM(J$197,-(J$244-J$243),J$204,J$214),SUM(K$204,K$214)/SUM(K$197,-(K$244-K$243),K$204,K$214),SUM(L$204,L$214)/SUM(L$197,-(L$244-L$243),L$204,L$214)),SUM(L$204,L$214)/SUM(L$197,-(L$244-L$243),L$204,L$214))*SUM(M$186-M$229,M$248,M$257,M$279,M$317,-(M$244-M$243)))</f>
        <v>23.236270467831332</v>
      </c>
      <c r="N214" s="6">
        <f ca="1">SUM(-N$204,IF(N$6=OFFSET(Assumptions!$B$8,0,$C$1),AVERAGE(SUM(K$204,K$214)/SUM(K$197,-(K$244-K$243),K$204,K$214),SUM(L$204,L$214)/SUM(L$197,-(L$244-L$243),L$204,L$214),SUM(M$204,M$214)/SUM(M$197,-(M$244-M$243),M$204,M$214)),SUM(M$204,M$214)/SUM(M$197,-(M$244-M$243),M$204,M$214))*SUM(N$186-N$229,N$248,N$257,N$279,N$317,-(N$244-N$243)))</f>
        <v>23.569184702386327</v>
      </c>
      <c r="O214" s="6">
        <f ca="1">SUM(-O$204,IF(O$6=OFFSET(Assumptions!$B$8,0,$C$1),AVERAGE(SUM(L$204,L$214)/SUM(L$197,-(L$244-L$243),L$204,L$214),SUM(M$204,M$214)/SUM(M$197,-(M$244-M$243),M$204,M$214),SUM(N$204,N$214)/SUM(N$197,-(N$244-N$243),N$204,N$214)),SUM(N$204,N$214)/SUM(N$197,-(N$244-N$243),N$204,N$214))*SUM(O$186-O$229,O$248,O$257,O$279,O$317,-(O$244-O$243)))</f>
        <v>23.910813052385041</v>
      </c>
      <c r="P214" s="6">
        <f ca="1">SUM(-P$204,IF(P$6=OFFSET(Assumptions!$B$8,0,$C$1),AVERAGE(SUM(M$204,M$214)/SUM(M$197,-(M$244-M$243),M$204,M$214),SUM(N$204,N$214)/SUM(N$197,-(N$244-N$243),N$204,N$214),SUM(O$204,O$214)/SUM(O$197,-(O$244-O$243),O$204,O$214)),SUM(O$204,O$214)/SUM(O$197,-(O$244-O$243),O$204,O$214))*SUM(P$186-P$229,P$248,P$257,P$279,P$317,-(P$244-P$243)))</f>
        <v>24.265199867250175</v>
      </c>
      <c r="Q214" s="6">
        <f ca="1">SUM(-Q$204,IF(Q$6=OFFSET(Assumptions!$B$8,0,$C$1),AVERAGE(SUM(N$204,N$214)/SUM(N$197,-(N$244-N$243),N$204,N$214),SUM(O$204,O$214)/SUM(O$197,-(O$244-O$243),O$204,O$214),SUM(P$204,P$214)/SUM(P$197,-(P$244-P$243),P$204,P$214)),SUM(P$204,P$214)/SUM(P$197,-(P$244-P$243),P$204,P$214))*SUM(Q$186-Q$229,Q$248,Q$257,Q$279,Q$317,-(Q$244-Q$243)))</f>
        <v>24.631696572423497</v>
      </c>
      <c r="R214" s="6">
        <f ca="1">SUM(-R$204,IF(R$6=OFFSET(Assumptions!$B$8,0,$C$1),AVERAGE(SUM(O$204,O$214)/SUM(O$197,-(O$244-O$243),O$204,O$214),SUM(P$204,P$214)/SUM(P$197,-(P$244-P$243),P$204,P$214),SUM(Q$204,Q$214)/SUM(Q$197,-(Q$244-Q$243),Q$204,Q$214)),SUM(Q$204,Q$214)/SUM(Q$197,-(Q$244-Q$243),Q$204,Q$214))*SUM(R$186-R$229,R$248,R$257,R$279,R$317,-(R$244-R$243)))</f>
        <v>25.011563821823213</v>
      </c>
      <c r="S214" s="6">
        <f ca="1">SUM(-S$204,IF(S$6=OFFSET(Assumptions!$B$8,0,$C$1),AVERAGE(SUM(P$204,P$214)/SUM(P$197,-(P$244-P$243),P$204,P$214),SUM(Q$204,Q$214)/SUM(Q$197,-(Q$244-Q$243),Q$204,Q$214),SUM(R$204,R$214)/SUM(R$197,-(R$244-R$243),R$204,R$214)),SUM(R$204,R$214)/SUM(R$197,-(R$244-R$243),R$204,R$214))*SUM(S$186-S$229,S$248,S$257,S$279,S$317,-(S$244-S$243)))</f>
        <v>25.402150531581661</v>
      </c>
      <c r="T214" s="6">
        <f ca="1">SUM(-T$204,IF(T$6=OFFSET(Assumptions!$B$8,0,$C$1),AVERAGE(SUM(Q$204,Q$214)/SUM(Q$197,-(Q$244-Q$243),Q$204,Q$214),SUM(R$204,R$214)/SUM(R$197,-(R$244-R$243),R$204,R$214),SUM(S$204,S$214)/SUM(S$197,-(S$244-S$243),S$204,S$214)),SUM(S$204,S$214)/SUM(S$197,-(S$244-S$243),S$204,S$214))*SUM(T$186-T$229,T$248,T$257,T$279,T$317,-(T$244-T$243)))</f>
        <v>25.806474966825537</v>
      </c>
      <c r="U214" s="6">
        <f ca="1">SUM(-U$204,IF(U$6=OFFSET(Assumptions!$B$8,0,$C$1),AVERAGE(SUM(R$204,R$214)/SUM(R$197,-(R$244-R$243),R$204,R$214),SUM(S$204,S$214)/SUM(S$197,-(S$244-S$243),S$204,S$214),SUM(T$204,T$214)/SUM(T$197,-(T$244-T$243),T$204,T$214)),SUM(T$204,T$214)/SUM(T$197,-(T$244-T$243),T$204,T$214))*SUM(U$186-U$229,U$248,U$257,U$279,U$317,-(U$244-U$243)))</f>
        <v>26.225782966159109</v>
      </c>
    </row>
    <row r="215" spans="1:21" x14ac:dyDescent="0.2">
      <c r="A215" s="1" t="s">
        <v>483</v>
      </c>
      <c r="B215" s="4" t="str">
        <f>$B$37</f>
        <v>From Fiscal</v>
      </c>
      <c r="D215" s="14">
        <f>'Fiscal Forecasts'!D$255</f>
        <v>9.6199999999999992</v>
      </c>
      <c r="E215" s="14">
        <f>'Fiscal Forecasts'!E$255</f>
        <v>8.6289999999999996</v>
      </c>
      <c r="F215" s="14">
        <f>'Fiscal Forecasts'!F$255</f>
        <v>9.0579999999999998</v>
      </c>
      <c r="G215" s="15">
        <f>'Fiscal Forecasts'!G$255</f>
        <v>10.395</v>
      </c>
      <c r="H215" s="15">
        <f>'Fiscal Forecasts'!H$255</f>
        <v>10.651999999999999</v>
      </c>
      <c r="I215" s="15">
        <f>'Fiscal Forecasts'!I$255</f>
        <v>11.151999999999999</v>
      </c>
      <c r="J215" s="15">
        <f>'Fiscal Forecasts'!J$255</f>
        <v>11.46</v>
      </c>
      <c r="K215" s="15">
        <f>'Fiscal Forecasts'!K$255</f>
        <v>11.904999999999999</v>
      </c>
      <c r="L215" s="6">
        <f ca="1">SUM(-L$205,IF(L$6=OFFSET(Assumptions!$B$8,0,$C$1),AVERAGE(SUM(I$215,I$205)/SUM(I$198,I$205,I$215),SUM(J$215,J$205)/SUM(J$198,J$205,J$215),SUM(K$215,K$205)/SUM(K$198,K$205,K$215)),SUM(K$215,K$205)/SUM(K$198,K$205,K$215))*SUM(L$280,L$318-L$230))</f>
        <v>12.702527711671443</v>
      </c>
      <c r="M215" s="6">
        <f ca="1">SUM(-M$205,IF(M$6=OFFSET(Assumptions!$B$8,0,$C$1),AVERAGE(SUM(J$215,J$205)/SUM(J$198,J$205,J$215),SUM(K$215,K$205)/SUM(K$198,K$205,K$215),SUM(L$215,L$205)/SUM(L$198,L$205,L$215)),SUM(L$215,L$205)/SUM(L$198,L$205,L$215))*SUM(M$280,M$318-M$230))</f>
        <v>13.345038382271206</v>
      </c>
      <c r="N215" s="6">
        <f ca="1">SUM(-N$205,IF(N$6=OFFSET(Assumptions!$B$8,0,$C$1),AVERAGE(SUM(K$215,K$205)/SUM(K$198,K$205,K$215),SUM(L$215,L$205)/SUM(L$198,L$205,L$215),SUM(M$215,M$205)/SUM(M$198,M$205,M$215)),SUM(M$215,M$205)/SUM(M$198,M$205,M$215))*SUM(N$280,N$318-N$230))</f>
        <v>13.9994425124213</v>
      </c>
      <c r="O215" s="6">
        <f ca="1">SUM(-O$205,IF(O$6=OFFSET(Assumptions!$B$8,0,$C$1),AVERAGE(SUM(L$215,L$205)/SUM(L$198,L$205,L$215),SUM(M$215,M$205)/SUM(M$198,M$205,M$215),SUM(N$215,N$205)/SUM(N$198,N$205,N$215)),SUM(N$215,N$205)/SUM(N$198,N$205,N$215))*SUM(O$280,O$318-O$230))</f>
        <v>14.670167688678008</v>
      </c>
      <c r="P215" s="6">
        <f ca="1">SUM(-P$205,IF(P$6=OFFSET(Assumptions!$B$8,0,$C$1),AVERAGE(SUM(M$215,M$205)/SUM(M$198,M$205,M$215),SUM(N$215,N$205)/SUM(N$198,N$205,N$215),SUM(O$215,O$205)/SUM(O$198,O$205,O$215)),SUM(O$215,O$205)/SUM(O$198,O$205,O$215))*SUM(P$280,P$318-P$230))</f>
        <v>15.363427943883767</v>
      </c>
      <c r="Q215" s="6">
        <f ca="1">SUM(-Q$205,IF(Q$6=OFFSET(Assumptions!$B$8,0,$C$1),AVERAGE(SUM(N$215,N$205)/SUM(N$198,N$205,N$215),SUM(O$215,O$205)/SUM(O$198,O$205,O$215),SUM(P$215,P$205)/SUM(P$198,P$205,P$215)),SUM(P$215,P$205)/SUM(P$198,P$205,P$215))*SUM(Q$280,Q$318-Q$230))</f>
        <v>16.0803389261395</v>
      </c>
      <c r="R215" s="6">
        <f ca="1">SUM(-R$205,IF(R$6=OFFSET(Assumptions!$B$8,0,$C$1),AVERAGE(SUM(O$215,O$205)/SUM(O$198,O$205,O$215),SUM(P$215,P$205)/SUM(P$198,P$205,P$215),SUM(Q$215,Q$205)/SUM(Q$198,Q$205,Q$215)),SUM(Q$215,Q$205)/SUM(Q$198,Q$205,Q$215))*SUM(R$280,R$318-R$230))</f>
        <v>16.819573396560429</v>
      </c>
      <c r="S215" s="6">
        <f ca="1">SUM(-S$205,IF(S$6=OFFSET(Assumptions!$B$8,0,$C$1),AVERAGE(SUM(P$215,P$205)/SUM(P$198,P$205,P$215),SUM(Q$215,Q$205)/SUM(Q$198,Q$205,Q$215),SUM(R$215,R$205)/SUM(R$198,R$205,R$215)),SUM(R$215,R$205)/SUM(R$198,R$205,R$215))*SUM(S$280,S$318-S$230))</f>
        <v>17.583401735455954</v>
      </c>
      <c r="T215" s="6">
        <f ca="1">SUM(-T$205,IF(T$6=OFFSET(Assumptions!$B$8,0,$C$1),AVERAGE(SUM(Q$215,Q$205)/SUM(Q$198,Q$205,Q$215),SUM(R$215,R$205)/SUM(R$198,R$205,R$215),SUM(S$215,S$205)/SUM(S$198,S$205,S$215)),SUM(S$215,S$205)/SUM(S$198,S$205,S$215))*SUM(T$280,T$318-T$230))</f>
        <v>18.372489970657657</v>
      </c>
      <c r="U215" s="6">
        <f ca="1">SUM(-U$205,IF(U$6=OFFSET(Assumptions!$B$8,0,$C$1),AVERAGE(SUM(R$215,R$205)/SUM(R$198,R$205,R$215),SUM(S$215,S$205)/SUM(S$198,S$205,S$215),SUM(T$215,T$205)/SUM(T$198,T$205,T$215)),SUM(T$215,T$205)/SUM(T$198,T$205,T$215))*SUM(U$280,U$318-U$230))</f>
        <v>19.189272833968047</v>
      </c>
    </row>
    <row r="216" spans="1:21" x14ac:dyDescent="0.2">
      <c r="A216" s="1" t="s">
        <v>484</v>
      </c>
      <c r="B216" s="4" t="str">
        <f>$B$37</f>
        <v>From Fiscal</v>
      </c>
      <c r="D216" s="14">
        <f>'Fiscal Forecasts'!D$256</f>
        <v>-28.193999999999999</v>
      </c>
      <c r="E216" s="14">
        <f>'Fiscal Forecasts'!E$256</f>
        <v>-29.039000000000001</v>
      </c>
      <c r="F216" s="14">
        <f>'Fiscal Forecasts'!F$256</f>
        <v>-30.158999999999999</v>
      </c>
      <c r="G216" s="15">
        <f>'Fiscal Forecasts'!G$256</f>
        <v>-31.87</v>
      </c>
      <c r="H216" s="15">
        <f>'Fiscal Forecasts'!H$256</f>
        <v>-33.143000000000001</v>
      </c>
      <c r="I216" s="15">
        <f>'Fiscal Forecasts'!I$256</f>
        <v>-33.06</v>
      </c>
      <c r="J216" s="15">
        <f>'Fiscal Forecasts'!J$256</f>
        <v>-33.725000000000001</v>
      </c>
      <c r="K216" s="15">
        <f>'Fiscal Forecasts'!K$256</f>
        <v>-33.417000000000002</v>
      </c>
      <c r="L216" s="6">
        <f ca="1">IF(L$6=OFFSET(Assumptions!$B$8,0,$C$1),AVERAGE(I$216/SUM(I$199,I$216),J$216/SUM(J$199,J$216),K$216/SUM(K$199,K$216)),K$216/SUM(K$199,K$216))*SUM(L$187,L$249,L$258,L$281,L$319)</f>
        <v>-34.368845831846578</v>
      </c>
      <c r="M216" s="6">
        <f ca="1">IF(M$6=OFFSET(Assumptions!$B$8,0,$C$1),AVERAGE(J$216/SUM(J$199,J$216),K$216/SUM(K$199,K$216),L$216/SUM(L$199,L$216)),L$216/SUM(L$199,L$216))*SUM(M$187,M$249,M$258,M$281,M$319)</f>
        <v>-35.008235939042656</v>
      </c>
      <c r="N216" s="6">
        <f ca="1">IF(N$6=OFFSET(Assumptions!$B$8,0,$C$1),AVERAGE(K$216/SUM(K$199,K$216),L$216/SUM(L$199,L$216),M$216/SUM(M$199,M$216)),M$216/SUM(M$199,M$216))*SUM(N$187,N$249,N$258,N$281,N$319)</f>
        <v>-35.381629898653095</v>
      </c>
      <c r="O216" s="6">
        <f ca="1">IF(O$6=OFFSET(Assumptions!$B$8,0,$C$1),AVERAGE(L$216/SUM(L$199,L$216),M$216/SUM(M$199,M$216),N$216/SUM(N$199,N$216)),N$216/SUM(N$199,N$216))*SUM(O$187,O$249,O$258,O$281,O$319)</f>
        <v>-35.76675182752183</v>
      </c>
      <c r="P216" s="6">
        <f ca="1">IF(P$6=OFFSET(Assumptions!$B$8,0,$C$1),AVERAGE(M$216/SUM(M$199,M$216),N$216/SUM(N$199,N$216),O$216/SUM(O$199,O$216)),O$216/SUM(O$199,O$216))*SUM(P$187,P$249,P$258,P$281,P$319)</f>
        <v>-36.166402802144042</v>
      </c>
      <c r="Q216" s="6">
        <f ca="1">IF(Q$6=OFFSET(Assumptions!$B$8,0,$C$1),AVERAGE(N$216/SUM(N$199,N$216),O$216/SUM(O$199,O$216),P$216/SUM(P$199,P$216)),P$216/SUM(P$199,P$216))*SUM(Q$187,Q$249,Q$258,Q$281,Q$319)</f>
        <v>-36.57932870741768</v>
      </c>
      <c r="R216" s="6">
        <f ca="1">IF(R$6=OFFSET(Assumptions!$B$8,0,$C$1),AVERAGE(O$216/SUM(O$199,O$216),P$216/SUM(P$199,P$216),Q$216/SUM(Q$199,Q$216)),Q$216/SUM(Q$199,Q$216))*SUM(R$187,R$249,R$258,R$281,R$319)</f>
        <v>-37.009602234917885</v>
      </c>
      <c r="S216" s="6">
        <f ca="1">IF(S$6=OFFSET(Assumptions!$B$8,0,$C$1),AVERAGE(P$216/SUM(P$199,P$216),Q$216/SUM(Q$199,Q$216),R$216/SUM(R$199,R$216)),R$216/SUM(R$199,R$216))*SUM(S$187,S$249,S$258,S$281,S$319)</f>
        <v>-37.448678071799215</v>
      </c>
      <c r="T216" s="6">
        <f ca="1">IF(T$6=OFFSET(Assumptions!$B$8,0,$C$1),AVERAGE(Q$216/SUM(Q$199,Q$216),R$216/SUM(R$199,R$216),S$216/SUM(S$199,S$216)),S$216/SUM(S$199,S$216))*SUM(T$187,T$249,T$258,T$281,T$319)</f>
        <v>-37.903759008862949</v>
      </c>
      <c r="U216" s="6">
        <f ca="1">IF(U$6=OFFSET(Assumptions!$B$8,0,$C$1),AVERAGE(R$216/SUM(R$199,R$216),S$216/SUM(S$199,S$216),T$216/SUM(T$199,T$216)),T$216/SUM(T$199,T$216))*SUM(U$187,U$249,U$258,U$281,U$319)</f>
        <v>-38.376253568980609</v>
      </c>
    </row>
    <row r="217" spans="1:21" ht="15" x14ac:dyDescent="0.25">
      <c r="A217" s="2" t="s">
        <v>486</v>
      </c>
      <c r="D217" s="34">
        <f t="shared" ref="D217:U217" si="119">SUM(D$213:D$216)</f>
        <v>36.707000000000008</v>
      </c>
      <c r="E217" s="34">
        <f t="shared" si="119"/>
        <v>36.576999999999998</v>
      </c>
      <c r="F217" s="34">
        <f t="shared" si="119"/>
        <v>38.008000000000003</v>
      </c>
      <c r="G217" s="33">
        <f t="shared" si="119"/>
        <v>42.83</v>
      </c>
      <c r="H217" s="33">
        <f t="shared" si="119"/>
        <v>44.975999999999999</v>
      </c>
      <c r="I217" s="33">
        <f t="shared" si="119"/>
        <v>44.605000000000004</v>
      </c>
      <c r="J217" s="33">
        <f t="shared" si="119"/>
        <v>45.148999999999994</v>
      </c>
      <c r="K217" s="33">
        <f t="shared" si="119"/>
        <v>45.146999999999991</v>
      </c>
      <c r="L217" s="37">
        <f t="shared" ca="1" si="119"/>
        <v>46.00842461386879</v>
      </c>
      <c r="M217" s="37">
        <f t="shared" ca="1" si="119"/>
        <v>46.871837915040523</v>
      </c>
      <c r="N217" s="37">
        <f t="shared" ca="1" si="119"/>
        <v>47.541426964862659</v>
      </c>
      <c r="O217" s="37">
        <f t="shared" ca="1" si="119"/>
        <v>48.173594479765114</v>
      </c>
      <c r="P217" s="37">
        <f t="shared" ca="1" si="119"/>
        <v>48.782949309390069</v>
      </c>
      <c r="Q217" s="37">
        <f t="shared" ca="1" si="119"/>
        <v>49.361759380755579</v>
      </c>
      <c r="R217" s="37">
        <f t="shared" ca="1" si="119"/>
        <v>49.948412953063148</v>
      </c>
      <c r="S217" s="37">
        <f t="shared" ca="1" si="119"/>
        <v>50.551588037242119</v>
      </c>
      <c r="T217" s="37">
        <f t="shared" ca="1" si="119"/>
        <v>51.168345220880681</v>
      </c>
      <c r="U217" s="37">
        <f t="shared" ca="1" si="119"/>
        <v>51.799928171243884</v>
      </c>
    </row>
    <row r="218" spans="1:21" ht="15" x14ac:dyDescent="0.25">
      <c r="A218" s="2"/>
      <c r="D218" s="46"/>
      <c r="E218" s="46"/>
      <c r="F218" s="46"/>
      <c r="G218" s="47"/>
      <c r="H218" s="47"/>
      <c r="I218" s="47"/>
      <c r="J218" s="47"/>
      <c r="K218" s="47"/>
      <c r="L218" s="47"/>
      <c r="M218" s="47"/>
      <c r="N218" s="47"/>
      <c r="O218" s="47"/>
      <c r="P218" s="47"/>
      <c r="Q218" s="47"/>
      <c r="R218" s="47"/>
      <c r="S218" s="47"/>
      <c r="T218" s="47"/>
      <c r="U218" s="47"/>
    </row>
    <row r="219" spans="1:21" x14ac:dyDescent="0.2">
      <c r="A219" s="18" t="s">
        <v>487</v>
      </c>
    </row>
    <row r="220" spans="1:21" x14ac:dyDescent="0.2">
      <c r="A220" s="1" t="s">
        <v>298</v>
      </c>
      <c r="B220" s="4" t="str">
        <f>$B$37</f>
        <v>From Fiscal</v>
      </c>
      <c r="D220" s="14">
        <f>'Fiscal Forecasts'!D$159</f>
        <v>3.7829999999999999</v>
      </c>
      <c r="E220" s="14">
        <f>'Fiscal Forecasts'!E$159</f>
        <v>3.59</v>
      </c>
      <c r="F220" s="14">
        <f>'Fiscal Forecasts'!F$159</f>
        <v>3.5339999999999998</v>
      </c>
      <c r="G220" s="15">
        <f>'Fiscal Forecasts'!G$159 +IF($C$2="Yes",'Fiscal Forecast Adjuster'!C$35/1000,0) +IF($C$3="Yes",'NZS Fund Adjuster'!N$9,0)</f>
        <v>3.484</v>
      </c>
      <c r="H220" s="15">
        <f>'Fiscal Forecasts'!H$159 +IF($C$2="Yes",'Fiscal Forecast Adjuster'!D$35/1000,0) +IF($C$3="Yes",'NZS Fund Adjuster'!O$9,0)</f>
        <v>3.4079999999999999</v>
      </c>
      <c r="I220" s="15">
        <f>'Fiscal Forecasts'!I$159 +IF($C$2="Yes",'Fiscal Forecast Adjuster'!E$35/1000,0) +IF($C$3="Yes",'NZS Fund Adjuster'!P$9,0)</f>
        <v>3.3580000000000001</v>
      </c>
      <c r="J220" s="15">
        <f>'Fiscal Forecasts'!J$159 +IF($C$2="Yes",'Fiscal Forecast Adjuster'!F$35/1000,0) +IF($C$3="Yes",'NZS Fund Adjuster'!Q$9,0)</f>
        <v>3.5219999999999998</v>
      </c>
      <c r="K220" s="15">
        <f>'Fiscal Forecasts'!K$159 +IF($C$2="Yes",'Fiscal Forecast Adjuster'!G$35/1000,0) +IF($C$3="Yes",'NZS Fund Adjuster'!R$9,0)</f>
        <v>3.294</v>
      </c>
      <c r="L220" s="6">
        <f t="shared" ref="L220:U220" ca="1" si="120">L$480</f>
        <v>3.6478404652948835</v>
      </c>
      <c r="M220" s="6">
        <f t="shared" ca="1" si="120"/>
        <v>3.9550450495675262</v>
      </c>
      <c r="N220" s="6">
        <f t="shared" ca="1" si="120"/>
        <v>4.3222278329070107</v>
      </c>
      <c r="O220" s="6">
        <f t="shared" ca="1" si="120"/>
        <v>4.755927187713004</v>
      </c>
      <c r="P220" s="6">
        <f t="shared" ca="1" si="120"/>
        <v>5.2701997906890403</v>
      </c>
      <c r="Q220" s="6">
        <f t="shared" ca="1" si="120"/>
        <v>5.8537020388762802</v>
      </c>
      <c r="R220" s="6">
        <f t="shared" ca="1" si="120"/>
        <v>6.4857836999027878</v>
      </c>
      <c r="S220" s="6">
        <f t="shared" ca="1" si="120"/>
        <v>6.8228076350860238</v>
      </c>
      <c r="T220" s="6">
        <f t="shared" ca="1" si="120"/>
        <v>7.1677055322716026</v>
      </c>
      <c r="U220" s="6">
        <f t="shared" ca="1" si="120"/>
        <v>7.5226471993731199</v>
      </c>
    </row>
    <row r="221" spans="1:21" x14ac:dyDescent="0.2">
      <c r="A221" s="1" t="s">
        <v>272</v>
      </c>
      <c r="B221" s="4" t="str">
        <f>$B$37</f>
        <v>From Fiscal</v>
      </c>
      <c r="D221" s="14">
        <f>'Fiscal Forecasts'!D$259</f>
        <v>0.221</v>
      </c>
      <c r="E221" s="14">
        <f>'Fiscal Forecasts'!E$259</f>
        <v>0.215</v>
      </c>
      <c r="F221" s="14">
        <f>'Fiscal Forecasts'!F$259</f>
        <v>0.158</v>
      </c>
      <c r="G221" s="15">
        <f>'Fiscal Forecasts'!G$259</f>
        <v>5.1999999999999998E-2</v>
      </c>
      <c r="H221" s="15">
        <f>'Fiscal Forecasts'!H$259</f>
        <v>8.7999999999999995E-2</v>
      </c>
      <c r="I221" s="15">
        <f>'Fiscal Forecasts'!I$259</f>
        <v>0.13400000000000001</v>
      </c>
      <c r="J221" s="15">
        <f>'Fiscal Forecasts'!J$259</f>
        <v>0.182</v>
      </c>
      <c r="K221" s="15">
        <f>'Fiscal Forecasts'!K$259</f>
        <v>0.22900000000000001</v>
      </c>
      <c r="L221" s="6">
        <f ca="1">IF(L$6=OFFSET(Assumptions!$B$8,0,$C$1),AVERAGE(I$221/SUM(I$221:I$223),J$221/SUM(J$221:J$223),K$221/SUM(K$221:K$223)),K$221/SUM(K$221:K$223))*(L$87-L$480)</f>
        <v>0.25721702745974551</v>
      </c>
      <c r="M221" s="6">
        <f ca="1">IF(M$6=OFFSET(Assumptions!$B$8,0,$C$1),AVERAGE(J$221/SUM(J$221:J$223),K$221/SUM(K$221:K$223),L$221/SUM(L$221:L$223)),L$221/SUM(L$221:L$223))*(M$87-M$480)</f>
        <v>0.28227406107691994</v>
      </c>
      <c r="N221" s="6">
        <f ca="1">IF(N$6=OFFSET(Assumptions!$B$8,0,$C$1),AVERAGE(K$221/SUM(K$221:K$223),L$221/SUM(L$221:L$223),M$221/SUM(M$221:M$223)),M$221/SUM(M$221:M$223))*(N$87-N$480)</f>
        <v>0.31712771189575728</v>
      </c>
      <c r="O221" s="6">
        <f ca="1">IF(O$6=OFFSET(Assumptions!$B$8,0,$C$1),AVERAGE(L$221/SUM(L$221:L$223),M$221/SUM(M$221:M$223),N$221/SUM(N$221:N$223)),N$221/SUM(N$221:N$223))*(O$87-O$480)</f>
        <v>0.35447655070429435</v>
      </c>
      <c r="P221" s="6">
        <f ca="1">IF(P$6=OFFSET(Assumptions!$B$8,0,$C$1),AVERAGE(M$221/SUM(M$221:M$223),N$221/SUM(N$221:N$223),O$221/SUM(O$221:O$223)),O$221/SUM(O$221:O$223))*(P$87-P$480)</f>
        <v>0.39454317956260404</v>
      </c>
      <c r="Q221" s="6">
        <f ca="1">IF(Q$6=OFFSET(Assumptions!$B$8,0,$C$1),AVERAGE(N$221/SUM(N$221:N$223),O$221/SUM(O$221:O$223),P$221/SUM(P$221:P$223)),P$221/SUM(P$221:P$223))*(Q$87-Q$480)</f>
        <v>0.43769258036377312</v>
      </c>
      <c r="R221" s="6">
        <f ca="1">IF(R$6=OFFSET(Assumptions!$B$8,0,$C$1),AVERAGE(O$221/SUM(O$221:O$223),P$221/SUM(P$221:P$223),Q$221/SUM(Q$221:Q$223)),Q$221/SUM(Q$221:Q$223))*(R$87-R$480)</f>
        <v>0.48453163044573594</v>
      </c>
      <c r="S221" s="6">
        <f ca="1">IF(S$6=OFFSET(Assumptions!$B$8,0,$C$1),AVERAGE(P$221/SUM(P$221:P$223),Q$221/SUM(Q$221:Q$223),R$221/SUM(R$221:R$223)),R$221/SUM(R$221:R$223))*(S$87-S$480)</f>
        <v>0.50932496324831389</v>
      </c>
      <c r="T221" s="6">
        <f ca="1">IF(T$6=OFFSET(Assumptions!$B$8,0,$C$1),AVERAGE(Q$221/SUM(Q$221:Q$223),R$221/SUM(R$221:R$223),S$221/SUM(S$221:S$223)),S$221/SUM(S$221:S$223))*(T$87-T$480)</f>
        <v>0.53404172800222616</v>
      </c>
      <c r="U221" s="6">
        <f ca="1">IF(U$6=OFFSET(Assumptions!$B$8,0,$C$1),AVERAGE(R$221/SUM(R$221:R$223),S$221/SUM(S$221:S$223),T$221/SUM(T$221:T$223)),T$221/SUM(T$221:T$223))*(U$87-U$480)</f>
        <v>0.55868589234913368</v>
      </c>
    </row>
    <row r="222" spans="1:21" x14ac:dyDescent="0.2">
      <c r="A222" s="1" t="s">
        <v>483</v>
      </c>
      <c r="B222" s="4" t="str">
        <f>$B$37</f>
        <v>From Fiscal</v>
      </c>
      <c r="D222" s="14">
        <f>'Fiscal Forecasts'!D$260</f>
        <v>1.28</v>
      </c>
      <c r="E222" s="14">
        <f>'Fiscal Forecasts'!E$260</f>
        <v>1.1539999999999999</v>
      </c>
      <c r="F222" s="14">
        <f>'Fiscal Forecasts'!F$260</f>
        <v>1.06</v>
      </c>
      <c r="G222" s="15">
        <f>'Fiscal Forecasts'!G$260</f>
        <v>1.07</v>
      </c>
      <c r="H222" s="15">
        <f>'Fiscal Forecasts'!H$260</f>
        <v>1.0660000000000001</v>
      </c>
      <c r="I222" s="15">
        <f>'Fiscal Forecasts'!I$260</f>
        <v>1.0880000000000001</v>
      </c>
      <c r="J222" s="15">
        <f>'Fiscal Forecasts'!J$260</f>
        <v>1.0680000000000001</v>
      </c>
      <c r="K222" s="15">
        <f>'Fiscal Forecasts'!K$260</f>
        <v>1.075</v>
      </c>
      <c r="L222" s="6">
        <f ca="1">IF(L$6=OFFSET(Assumptions!$B$8,0,$C$1),AVERAGE(I$222/SUM(I$221:I$223),J$222/SUM(J$221:J$223),K$222/SUM(K$221:K$223)),K$222/SUM(K$221:K$223))*(L$87-L$480)</f>
        <v>1.5380371333788339</v>
      </c>
      <c r="M222" s="6">
        <f ca="1">IF(M$6=OFFSET(Assumptions!$B$8,0,$C$1),AVERAGE(J$222/SUM(J$221:J$223),K$222/SUM(K$221:K$223),L$222/SUM(L$221:L$223)),L$222/SUM(L$221:L$223))*(M$87-M$480)</f>
        <v>1.6878664372011376</v>
      </c>
      <c r="N222" s="6">
        <f ca="1">IF(N$6=OFFSET(Assumptions!$B$8,0,$C$1),AVERAGE(K$222/SUM(K$221:K$223),L$222/SUM(L$221:L$223),M$222/SUM(M$221:M$223)),M$222/SUM(M$221:M$223))*(N$87-N$480)</f>
        <v>1.8962749151413503</v>
      </c>
      <c r="O222" s="6">
        <f ca="1">IF(O$6=OFFSET(Assumptions!$B$8,0,$C$1),AVERAGE(L$222/SUM(L$221:L$223),M$222/SUM(M$221:M$223),N$222/SUM(N$221:N$223)),N$222/SUM(N$221:N$223))*(O$87-O$480)</f>
        <v>2.1196034464731279</v>
      </c>
      <c r="P222" s="6">
        <f ca="1">IF(P$6=OFFSET(Assumptions!$B$8,0,$C$1),AVERAGE(M$222/SUM(M$221:M$223),N$222/SUM(N$221:N$223),O$222/SUM(O$221:O$223)),O$222/SUM(O$221:O$223))*(P$87-P$480)</f>
        <v>2.359183087066838</v>
      </c>
      <c r="Q222" s="6">
        <f ca="1">IF(Q$6=OFFSET(Assumptions!$B$8,0,$C$1),AVERAGE(N$222/SUM(N$221:N$223),O$222/SUM(O$221:O$223),P$222/SUM(P$221:P$223)),P$222/SUM(P$221:P$223))*(Q$87-Q$480)</f>
        <v>2.6171962573871062</v>
      </c>
      <c r="R222" s="6">
        <f ca="1">IF(R$6=OFFSET(Assumptions!$B$8,0,$C$1),AVERAGE(O$222/SUM(O$221:O$223),P$222/SUM(P$221:P$223),Q$222/SUM(Q$221:Q$223)),Q$222/SUM(Q$221:Q$223))*(R$87-R$480)</f>
        <v>2.8972717991570773</v>
      </c>
      <c r="S222" s="6">
        <f ca="1">IF(S$6=OFFSET(Assumptions!$B$8,0,$C$1),AVERAGE(P$222/SUM(P$221:P$223),Q$222/SUM(Q$221:Q$223),R$222/SUM(R$221:R$223)),R$222/SUM(R$221:R$223))*(S$87-S$480)</f>
        <v>3.0455242958412332</v>
      </c>
      <c r="T222" s="6">
        <f ca="1">IF(T$6=OFFSET(Assumptions!$B$8,0,$C$1),AVERAGE(Q$222/SUM(Q$221:Q$223),R$222/SUM(R$221:R$223),S$222/SUM(S$221:S$223)),S$222/SUM(S$221:S$223))*(T$87-T$480)</f>
        <v>3.1933189515214666</v>
      </c>
      <c r="U222" s="6">
        <f ca="1">IF(U$6=OFFSET(Assumptions!$B$8,0,$C$1),AVERAGE(R$222/SUM(R$221:R$223),S$222/SUM(S$221:S$223),T$222/SUM(T$221:T$223)),T$222/SUM(T$221:T$223))*(U$87-U$480)</f>
        <v>3.3406794908332214</v>
      </c>
    </row>
    <row r="223" spans="1:21" x14ac:dyDescent="0.2">
      <c r="A223" s="1" t="s">
        <v>484</v>
      </c>
      <c r="B223" s="4" t="str">
        <f>$B$37</f>
        <v>From Fiscal</v>
      </c>
      <c r="D223" s="14">
        <f>'Fiscal Forecasts'!D$261</f>
        <v>-0.72099999999999997</v>
      </c>
      <c r="E223" s="14">
        <f>'Fiscal Forecasts'!E$261</f>
        <v>-0.623</v>
      </c>
      <c r="F223" s="14">
        <f>'Fiscal Forecasts'!F$261</f>
        <v>-0.59</v>
      </c>
      <c r="G223" s="15">
        <f>'Fiscal Forecasts'!G$261</f>
        <v>-0.48499999999999999</v>
      </c>
      <c r="H223" s="15">
        <f>'Fiscal Forecasts'!H$261</f>
        <v>-0.51700000000000002</v>
      </c>
      <c r="I223" s="15">
        <f>'Fiscal Forecasts'!I$261</f>
        <v>-0.53500000000000003</v>
      </c>
      <c r="J223" s="15">
        <f>'Fiscal Forecasts'!J$261</f>
        <v>-0.54100000000000004</v>
      </c>
      <c r="K223" s="15">
        <f>'Fiscal Forecasts'!K$261</f>
        <v>-0.54700000000000004</v>
      </c>
      <c r="L223" s="6">
        <f ca="1">IF(L$6=OFFSET(Assumptions!$B$8,0,$C$1),AVERAGE(I$223/SUM(I$221:I$223),J$223/SUM(J$221:J$223),K$223/SUM(K$221:K$223)),K$223/SUM(K$221:K$223))*(L$87-L$480)</f>
        <v>-0.77219759955833689</v>
      </c>
      <c r="M223" s="6">
        <f ca="1">IF(M$6=OFFSET(Assumptions!$B$8,0,$C$1),AVERAGE(J$223/SUM(J$221:J$223),K$223/SUM(K$221:K$223),L$223/SUM(L$221:L$223)),L$223/SUM(L$221:L$223))*(M$87-M$480)</f>
        <v>-0.84742193988418402</v>
      </c>
      <c r="N223" s="6">
        <f ca="1">IF(N$6=OFFSET(Assumptions!$B$8,0,$C$1),AVERAGE(K$223/SUM(K$221:K$223),L$223/SUM(L$221:L$223),M$223/SUM(M$221:M$223)),M$223/SUM(M$221:M$223))*(N$87-N$480)</f>
        <v>-0.95205694699841048</v>
      </c>
      <c r="O223" s="6">
        <f ca="1">IF(O$6=OFFSET(Assumptions!$B$8,0,$C$1),AVERAGE(L$223/SUM(L$221:L$223),M$223/SUM(M$221:M$223),N$223/SUM(N$221:N$223)),N$223/SUM(N$221:N$223))*(O$87-O$480)</f>
        <v>-1.0641828196868239</v>
      </c>
      <c r="P223" s="6">
        <f ca="1">IF(P$6=OFFSET(Assumptions!$B$8,0,$C$1),AVERAGE(M$223/SUM(M$221:M$223),N$223/SUM(N$221:N$223),O$223/SUM(O$221:O$223)),O$223/SUM(O$221:O$223))*(P$87-P$480)</f>
        <v>-1.1844678370993027</v>
      </c>
      <c r="Q223" s="6">
        <f ca="1">IF(Q$6=OFFSET(Assumptions!$B$8,0,$C$1),AVERAGE(N$223/SUM(N$221:N$223),O$223/SUM(O$221:O$223),P$223/SUM(P$221:P$223)),P$223/SUM(P$221:P$223))*(Q$87-Q$480)</f>
        <v>-1.3140077204037153</v>
      </c>
      <c r="R223" s="6">
        <f ca="1">IF(R$6=OFFSET(Assumptions!$B$8,0,$C$1),AVERAGE(O$223/SUM(O$221:O$223),P$223/SUM(P$221:P$223),Q$223/SUM(Q$221:Q$223)),Q$223/SUM(Q$221:Q$223))*(R$87-R$480)</f>
        <v>-1.4546243910653995</v>
      </c>
      <c r="S223" s="6">
        <f ca="1">IF(S$6=OFFSET(Assumptions!$B$8,0,$C$1),AVERAGE(P$223/SUM(P$221:P$223),Q$223/SUM(Q$221:Q$223),R$223/SUM(R$221:R$223)),R$223/SUM(R$221:R$223))*(S$87-S$480)</f>
        <v>-1.5290570686539697</v>
      </c>
      <c r="T223" s="6">
        <f ca="1">IF(T$6=OFFSET(Assumptions!$B$8,0,$C$1),AVERAGE(Q$223/SUM(Q$221:Q$223),R$223/SUM(R$221:R$223),S$223/SUM(S$221:S$223)),S$223/SUM(S$221:S$223))*(T$87-T$480)</f>
        <v>-1.6032598794099808</v>
      </c>
      <c r="U223" s="6">
        <f ca="1">IF(U$6=OFFSET(Assumptions!$B$8,0,$C$1),AVERAGE(R$223/SUM(R$221:R$223),S$223/SUM(S$221:S$223),T$223/SUM(T$221:T$223)),T$223/SUM(T$221:T$223))*(U$87-U$480)</f>
        <v>-1.6772447346885893</v>
      </c>
    </row>
    <row r="224" spans="1:21" ht="15" x14ac:dyDescent="0.25">
      <c r="A224" s="2" t="s">
        <v>488</v>
      </c>
      <c r="D224" s="34">
        <f t="shared" ref="D224:U224" si="121">SUM(D$220:D$223)</f>
        <v>4.5629999999999997</v>
      </c>
      <c r="E224" s="34">
        <f t="shared" si="121"/>
        <v>4.3359999999999994</v>
      </c>
      <c r="F224" s="34">
        <f t="shared" si="121"/>
        <v>4.1619999999999999</v>
      </c>
      <c r="G224" s="33">
        <f t="shared" si="121"/>
        <v>4.1209999999999996</v>
      </c>
      <c r="H224" s="33">
        <f t="shared" si="121"/>
        <v>4.0449999999999999</v>
      </c>
      <c r="I224" s="33">
        <f t="shared" si="121"/>
        <v>4.0449999999999999</v>
      </c>
      <c r="J224" s="33">
        <f t="shared" si="121"/>
        <v>4.2309999999999999</v>
      </c>
      <c r="K224" s="33">
        <f t="shared" si="121"/>
        <v>4.0510000000000002</v>
      </c>
      <c r="L224" s="37">
        <f t="shared" ca="1" si="121"/>
        <v>4.6708970265751262</v>
      </c>
      <c r="M224" s="37">
        <f t="shared" ca="1" si="121"/>
        <v>5.0777636079613995</v>
      </c>
      <c r="N224" s="37">
        <f t="shared" ca="1" si="121"/>
        <v>5.5835735129457085</v>
      </c>
      <c r="O224" s="37">
        <f t="shared" ca="1" si="121"/>
        <v>6.1658243652036031</v>
      </c>
      <c r="P224" s="37">
        <f t="shared" ca="1" si="121"/>
        <v>6.8394582202191812</v>
      </c>
      <c r="Q224" s="37">
        <f t="shared" ca="1" si="121"/>
        <v>7.5945831562234432</v>
      </c>
      <c r="R224" s="37">
        <f t="shared" ca="1" si="121"/>
        <v>8.4129627384402017</v>
      </c>
      <c r="S224" s="37">
        <f t="shared" ca="1" si="121"/>
        <v>8.8485998255216014</v>
      </c>
      <c r="T224" s="37">
        <f t="shared" ca="1" si="121"/>
        <v>9.2918063323853151</v>
      </c>
      <c r="U224" s="37">
        <f t="shared" ca="1" si="121"/>
        <v>9.7447678478668855</v>
      </c>
    </row>
    <row r="225" spans="1:21" x14ac:dyDescent="0.2">
      <c r="A225" s="4" t="s">
        <v>489</v>
      </c>
      <c r="D225" s="50"/>
      <c r="E225" s="50">
        <f t="shared" ref="E225:K225" si="122">E$220/AVERAGE(D$68,E$68)</f>
        <v>3.7653524642606163E-2</v>
      </c>
      <c r="F225" s="50">
        <f t="shared" si="122"/>
        <v>3.7368354269762719E-2</v>
      </c>
      <c r="G225" s="51">
        <f t="shared" si="122"/>
        <v>3.6413994930887615E-2</v>
      </c>
      <c r="H225" s="51">
        <f t="shared" si="122"/>
        <v>3.6082010343933123E-2</v>
      </c>
      <c r="I225" s="51">
        <f t="shared" si="122"/>
        <v>3.620016817231194E-2</v>
      </c>
      <c r="J225" s="51">
        <f t="shared" si="122"/>
        <v>3.7737668557836029E-2</v>
      </c>
      <c r="K225" s="51">
        <f t="shared" si="122"/>
        <v>3.4551299869409934E-2</v>
      </c>
      <c r="L225" s="8">
        <f ca="1">SUM(K$225,IF(L$6=OFFSET(Assumptions!$B$8,0,$C$1),ABS(OFFSET(Assumptions!$B$16,0,$C$1)-K$225)/OFFSET(Assumptions!$B$24,0,$C$1),MIN(ABS(K$225-J$225),ABS(OFFSET(Assumptions!$B$16,0,$C$1)-K$225)))*SIGN(OFFSET(Assumptions!$B$16,0,$C$1)-K$225))</f>
        <v>3.7186828459494226E-2</v>
      </c>
      <c r="M225" s="8">
        <f ca="1">SUM(L$225,IF(M$6=OFFSET(Assumptions!$B$8,0,$C$1),ABS(OFFSET(Assumptions!$B$16,0,$C$1)-L$225)/OFFSET(Assumptions!$B$24,0,$C$1),MIN(ABS(L$225-K$225),ABS(OFFSET(Assumptions!$B$16,0,$C$1)-L$225)))*SIGN(OFFSET(Assumptions!$B$16,0,$C$1)-L$225))</f>
        <v>3.9822357049578518E-2</v>
      </c>
      <c r="N225" s="8">
        <f ca="1">SUM(M$225,IF(N$6=OFFSET(Assumptions!$B$8,0,$C$1),ABS(OFFSET(Assumptions!$B$16,0,$C$1)-M$225)/OFFSET(Assumptions!$B$24,0,$C$1),MIN(ABS(M$225-L$225),ABS(OFFSET(Assumptions!$B$16,0,$C$1)-M$225)))*SIGN(OFFSET(Assumptions!$B$16,0,$C$1)-M$225))</f>
        <v>4.245788563966281E-2</v>
      </c>
      <c r="O225" s="8">
        <f ca="1">SUM(N$225,IF(O$6=OFFSET(Assumptions!$B$8,0,$C$1),ABS(OFFSET(Assumptions!$B$16,0,$C$1)-N$225)/OFFSET(Assumptions!$B$24,0,$C$1),MIN(ABS(N$225-M$225),ABS(OFFSET(Assumptions!$B$16,0,$C$1)-N$225)))*SIGN(OFFSET(Assumptions!$B$16,0,$C$1)-N$225))</f>
        <v>4.5093414229747102E-2</v>
      </c>
      <c r="P225" s="8">
        <f ca="1">SUM(O$225,IF(P$6=OFFSET(Assumptions!$B$8,0,$C$1),ABS(OFFSET(Assumptions!$B$16,0,$C$1)-O$225)/OFFSET(Assumptions!$B$24,0,$C$1),MIN(ABS(O$225-N$225),ABS(OFFSET(Assumptions!$B$16,0,$C$1)-O$225)))*SIGN(OFFSET(Assumptions!$B$16,0,$C$1)-O$225))</f>
        <v>4.7728942819831394E-2</v>
      </c>
      <c r="Q225" s="8">
        <f ca="1">SUM(P$225,IF(Q$6=OFFSET(Assumptions!$B$8,0,$C$1),ABS(OFFSET(Assumptions!$B$16,0,$C$1)-P$225)/OFFSET(Assumptions!$B$24,0,$C$1),MIN(ABS(P$225-O$225),ABS(OFFSET(Assumptions!$B$16,0,$C$1)-P$225)))*SIGN(OFFSET(Assumptions!$B$16,0,$C$1)-P$225))</f>
        <v>5.0364471409915686E-2</v>
      </c>
      <c r="R225" s="8">
        <f ca="1">SUM(Q$225,IF(R$6=OFFSET(Assumptions!$B$8,0,$C$1),ABS(OFFSET(Assumptions!$B$16,0,$C$1)-Q$225)/OFFSET(Assumptions!$B$24,0,$C$1),MIN(ABS(Q$225-P$225),ABS(OFFSET(Assumptions!$B$16,0,$C$1)-Q$225)))*SIGN(OFFSET(Assumptions!$B$16,0,$C$1)-Q$225))</f>
        <v>5.2999999999999978E-2</v>
      </c>
      <c r="S225" s="8">
        <f ca="1">SUM(R$225,IF(S$6=OFFSET(Assumptions!$B$8,0,$C$1),ABS(OFFSET(Assumptions!$B$16,0,$C$1)-R$225)/OFFSET(Assumptions!$B$24,0,$C$1),MIN(ABS(R$225-Q$225),ABS(OFFSET(Assumptions!$B$16,0,$C$1)-R$225)))*SIGN(OFFSET(Assumptions!$B$16,0,$C$1)-R$225))</f>
        <v>5.2999999999999999E-2</v>
      </c>
      <c r="T225" s="8">
        <f ca="1">SUM(S$225,IF(T$6=OFFSET(Assumptions!$B$8,0,$C$1),ABS(OFFSET(Assumptions!$B$16,0,$C$1)-S$225)/OFFSET(Assumptions!$B$24,0,$C$1),MIN(ABS(S$225-R$225),ABS(OFFSET(Assumptions!$B$16,0,$C$1)-S$225)))*SIGN(OFFSET(Assumptions!$B$16,0,$C$1)-S$225))</f>
        <v>5.2999999999999999E-2</v>
      </c>
      <c r="U225" s="8">
        <f ca="1">SUM(T$225,IF(U$6=OFFSET(Assumptions!$B$8,0,$C$1),ABS(OFFSET(Assumptions!$B$16,0,$C$1)-T$225)/OFFSET(Assumptions!$B$24,0,$C$1),MIN(ABS(T$225-S$225),ABS(OFFSET(Assumptions!$B$16,0,$C$1)-T$225)))*SIGN(OFFSET(Assumptions!$B$16,0,$C$1)-T$225))</f>
        <v>5.2999999999999999E-2</v>
      </c>
    </row>
    <row r="226" spans="1:21" x14ac:dyDescent="0.2">
      <c r="A226" s="4"/>
      <c r="D226" s="50"/>
      <c r="E226" s="50"/>
      <c r="F226" s="50"/>
      <c r="G226" s="51"/>
      <c r="H226" s="51"/>
      <c r="I226" s="51"/>
      <c r="J226" s="51"/>
      <c r="K226" s="51"/>
      <c r="L226" s="8"/>
      <c r="M226" s="8"/>
      <c r="N226" s="8"/>
      <c r="O226" s="8"/>
      <c r="P226" s="8"/>
      <c r="Q226" s="8"/>
      <c r="R226" s="8"/>
      <c r="S226" s="8"/>
      <c r="T226" s="8"/>
      <c r="U226" s="8"/>
    </row>
    <row r="227" spans="1:21" x14ac:dyDescent="0.2">
      <c r="A227" s="18" t="s">
        <v>150</v>
      </c>
    </row>
    <row r="228" spans="1:21" x14ac:dyDescent="0.2">
      <c r="A228" s="1" t="s">
        <v>298</v>
      </c>
      <c r="B228" s="4" t="str">
        <f t="shared" ref="B228:B244" si="123">$B$37</f>
        <v>From Fiscal</v>
      </c>
      <c r="D228" s="14">
        <f>'Fiscal Forecasts'!D$160</f>
        <v>6.0000000000000001E-3</v>
      </c>
      <c r="E228" s="14">
        <f>'Fiscal Forecasts'!E$160</f>
        <v>0</v>
      </c>
      <c r="F228" s="14">
        <f>'Fiscal Forecasts'!F$160</f>
        <v>8.0000000000000002E-3</v>
      </c>
      <c r="G228" s="15">
        <f>'Fiscal Forecasts'!G$160</f>
        <v>0.05</v>
      </c>
      <c r="H228" s="15">
        <f>'Fiscal Forecasts'!H$160</f>
        <v>1E-3</v>
      </c>
      <c r="I228" s="15">
        <f>'Fiscal Forecasts'!I$160</f>
        <v>1E-3</v>
      </c>
      <c r="J228" s="15">
        <f>'Fiscal Forecasts'!J$160</f>
        <v>1E-3</v>
      </c>
      <c r="K228" s="15">
        <f>'Fiscal Forecasts'!K$160</f>
        <v>1E-3</v>
      </c>
      <c r="L228" s="6">
        <f ca="1">IF(L$6=OFFSET(Assumptions!$B$8,0,$C$1),0,K$228)</f>
        <v>0</v>
      </c>
      <c r="M228" s="6">
        <f ca="1">IF(M$6=OFFSET(Assumptions!$B$8,0,$C$1),0,L$228)</f>
        <v>0</v>
      </c>
      <c r="N228" s="6">
        <f ca="1">IF(N$6=OFFSET(Assumptions!$B$8,0,$C$1),0,M$228)</f>
        <v>0</v>
      </c>
      <c r="O228" s="6">
        <f ca="1">IF(O$6=OFFSET(Assumptions!$B$8,0,$C$1),0,N$228)</f>
        <v>0</v>
      </c>
      <c r="P228" s="6">
        <f ca="1">IF(P$6=OFFSET(Assumptions!$B$8,0,$C$1),0,O$228)</f>
        <v>0</v>
      </c>
      <c r="Q228" s="6">
        <f ca="1">IF(Q$6=OFFSET(Assumptions!$B$8,0,$C$1),0,P$228)</f>
        <v>0</v>
      </c>
      <c r="R228" s="6">
        <f ca="1">IF(R$6=OFFSET(Assumptions!$B$8,0,$C$1),0,Q$228)</f>
        <v>0</v>
      </c>
      <c r="S228" s="6">
        <f ca="1">IF(S$6=OFFSET(Assumptions!$B$8,0,$C$1),0,R$228)</f>
        <v>0</v>
      </c>
      <c r="T228" s="6">
        <f ca="1">IF(T$6=OFFSET(Assumptions!$B$8,0,$C$1),0,S$228)</f>
        <v>0</v>
      </c>
      <c r="U228" s="6">
        <f ca="1">IF(U$6=OFFSET(Assumptions!$B$8,0,$C$1),0,T$228)</f>
        <v>0</v>
      </c>
    </row>
    <row r="229" spans="1:21" x14ac:dyDescent="0.2">
      <c r="A229" s="1" t="s">
        <v>272</v>
      </c>
      <c r="B229" s="4" t="str">
        <f t="shared" si="123"/>
        <v>From Fiscal</v>
      </c>
      <c r="D229" s="14">
        <f>'Fiscal Forecasts'!D$189</f>
        <v>4.085</v>
      </c>
      <c r="E229" s="14">
        <f>'Fiscal Forecasts'!E$189</f>
        <v>4.7050000000000001</v>
      </c>
      <c r="F229" s="14">
        <f>'Fiscal Forecasts'!F$189</f>
        <v>5.2480000000000002</v>
      </c>
      <c r="G229" s="15">
        <f>'Fiscal Forecasts'!G$189</f>
        <v>4.7830000000000004</v>
      </c>
      <c r="H229" s="15">
        <f>'Fiscal Forecasts'!H$189</f>
        <v>4.8710000000000004</v>
      </c>
      <c r="I229" s="15">
        <f>'Fiscal Forecasts'!I$189</f>
        <v>5.484</v>
      </c>
      <c r="J229" s="15">
        <f>'Fiscal Forecasts'!J$189</f>
        <v>5.9779999999999998</v>
      </c>
      <c r="K229" s="15">
        <f>'Fiscal Forecasts'!K$189</f>
        <v>6.4210000000000003</v>
      </c>
      <c r="L229" s="6">
        <f ca="1">IF(L$6=OFFSET(Assumptions!$B$8,0,$C$1),AVERAGE(I$229/SUM(I$232:I$233),J$229/SUM(J$232:J$233),K$229/SUM(K$232:K$233)),K$229/SUM(K$232:K$233))*SUM(L$232:L$233)</f>
        <v>6.6950641235808837</v>
      </c>
      <c r="M229" s="6">
        <f ca="1">IF(M$6=OFFSET(Assumptions!$B$8,0,$C$1),AVERAGE(J$229/SUM(J$232:J$233),K$229/SUM(K$232:K$233),L$229/SUM(L$232:L$233)),L$229/SUM(L$232:L$233))*SUM(M$232:M$233)</f>
        <v>7.0172459822889364</v>
      </c>
      <c r="N229" s="6">
        <f ca="1">IF(N$6=OFFSET(Assumptions!$B$8,0,$C$1),AVERAGE(K$229/SUM(K$232:K$233),L$229/SUM(L$232:L$233),M$229/SUM(M$232:M$233)),M$229/SUM(M$232:M$233))*SUM(N$232:N$233)</f>
        <v>7.3161610294576684</v>
      </c>
      <c r="O229" s="6">
        <f ca="1">IF(O$6=OFFSET(Assumptions!$B$8,0,$C$1),AVERAGE(L$229/SUM(L$232:L$233),M$229/SUM(M$232:M$233),N$229/SUM(N$232:N$233)),N$229/SUM(N$232:N$233))*SUM(O$232:O$233)</f>
        <v>7.6268985701469569</v>
      </c>
      <c r="P229" s="6">
        <f ca="1">IF(P$6=OFFSET(Assumptions!$B$8,0,$C$1),AVERAGE(M$229/SUM(M$232:M$233),N$229/SUM(N$232:N$233),O$229/SUM(O$232:O$233)),O$229/SUM(O$232:O$233))*SUM(P$232:P$233)</f>
        <v>7.958262306112923</v>
      </c>
      <c r="Q229" s="6">
        <f ca="1">IF(Q$6=OFFSET(Assumptions!$B$8,0,$C$1),AVERAGE(N$229/SUM(N$232:N$233),O$229/SUM(O$232:O$233),P$229/SUM(P$232:P$233)),P$229/SUM(P$232:P$233))*SUM(Q$232:Q$233)</f>
        <v>8.3020907126021672</v>
      </c>
      <c r="R229" s="6">
        <f ca="1">IF(R$6=OFFSET(Assumptions!$B$8,0,$C$1),AVERAGE(O$229/SUM(O$232:O$233),P$229/SUM(P$232:P$233),Q$229/SUM(Q$232:Q$233)),Q$229/SUM(Q$232:Q$233))*SUM(R$232:R$233)</f>
        <v>8.6725101001179539</v>
      </c>
      <c r="S229" s="6">
        <f ca="1">IF(S$6=OFFSET(Assumptions!$B$8,0,$C$1),AVERAGE(P$229/SUM(P$232:P$233),Q$229/SUM(Q$232:Q$233),R$229/SUM(R$232:R$233)),R$229/SUM(R$232:R$233))*SUM(S$232:S$233)</f>
        <v>9.0418362845291664</v>
      </c>
      <c r="T229" s="6">
        <f ca="1">IF(T$6=OFFSET(Assumptions!$B$8,0,$C$1),AVERAGE(Q$229/SUM(Q$232:Q$233),R$229/SUM(R$232:R$233),S$229/SUM(S$232:S$233)),S$229/SUM(S$232:S$233))*SUM(T$232:T$233)</f>
        <v>9.4302540986872359</v>
      </c>
      <c r="U229" s="6">
        <f ca="1">IF(U$6=OFFSET(Assumptions!$B$8,0,$C$1),AVERAGE(R$229/SUM(R$232:R$233),S$229/SUM(S$232:S$233),T$229/SUM(T$232:T$233)),T$229/SUM(T$232:T$233))*SUM(U$232:U$233)</f>
        <v>9.8386858672136661</v>
      </c>
    </row>
    <row r="230" spans="1:21" x14ac:dyDescent="0.2">
      <c r="A230" s="1" t="s">
        <v>1286</v>
      </c>
      <c r="B230" s="4" t="str">
        <f t="shared" si="123"/>
        <v>From Fiscal</v>
      </c>
      <c r="D230" s="14">
        <f>'Fiscal Forecasts'!D$190</f>
        <v>1.9E-2</v>
      </c>
      <c r="E230" s="14">
        <f>'Fiscal Forecasts'!E$190</f>
        <v>0.02</v>
      </c>
      <c r="F230" s="14">
        <f>'Fiscal Forecasts'!F$190</f>
        <v>0.16200000000000001</v>
      </c>
      <c r="G230" s="15">
        <f>'Fiscal Forecasts'!G$190</f>
        <v>7.0000000000000001E-3</v>
      </c>
      <c r="H230" s="15">
        <f>'Fiscal Forecasts'!H$190</f>
        <v>5.0000000000000001E-3</v>
      </c>
      <c r="I230" s="15">
        <f>'Fiscal Forecasts'!I$190</f>
        <v>5.0000000000000001E-3</v>
      </c>
      <c r="J230" s="15">
        <f>'Fiscal Forecasts'!J$190</f>
        <v>5.0000000000000001E-3</v>
      </c>
      <c r="K230" s="15">
        <f>'Fiscal Forecasts'!K$190</f>
        <v>5.0000000000000001E-3</v>
      </c>
      <c r="L230" s="6">
        <f ca="1">SUM(L$232:L233,-L$229)</f>
        <v>6.7669091829332118E-3</v>
      </c>
      <c r="M230" s="6">
        <f ca="1">SUM(M$232:M233,-M$229)</f>
        <v>7.0925483908661491E-3</v>
      </c>
      <c r="N230" s="6">
        <f ca="1">SUM(N$232:N233,-N$229)</f>
        <v>7.3946711099717177E-3</v>
      </c>
      <c r="O230" s="6">
        <f ca="1">SUM(O$232:O233,-O$229)</f>
        <v>7.7087431903519743E-3</v>
      </c>
      <c r="P230" s="6">
        <f ca="1">SUM(P$232:P233,-P$229)</f>
        <v>8.0436628067159788E-3</v>
      </c>
      <c r="Q230" s="6">
        <f ca="1">SUM(Q$232:Q233,-Q$229)</f>
        <v>8.3911808525893861E-3</v>
      </c>
      <c r="R230" s="6">
        <f ca="1">SUM(R$232:R233,-R$229)</f>
        <v>8.7655752286028843E-3</v>
      </c>
      <c r="S230" s="6">
        <f ca="1">SUM(S$232:S233,-S$229)</f>
        <v>9.1388646702963428E-3</v>
      </c>
      <c r="T230" s="6">
        <f ca="1">SUM(T$232:T233,-T$229)</f>
        <v>9.5314506149453138E-3</v>
      </c>
      <c r="U230" s="6">
        <f ca="1">SUM(U$232:U233,-U$229)</f>
        <v>9.9442652846821744E-3</v>
      </c>
    </row>
    <row r="231" spans="1:21" ht="15" x14ac:dyDescent="0.25">
      <c r="A231" s="2" t="s">
        <v>490</v>
      </c>
      <c r="D231" s="34">
        <f t="shared" ref="D231:U231" si="124">SUM(D$228:D$230)</f>
        <v>4.1100000000000003</v>
      </c>
      <c r="E231" s="34">
        <f t="shared" si="124"/>
        <v>4.7249999999999996</v>
      </c>
      <c r="F231" s="34">
        <f t="shared" si="124"/>
        <v>5.4180000000000001</v>
      </c>
      <c r="G231" s="33">
        <f t="shared" si="124"/>
        <v>4.84</v>
      </c>
      <c r="H231" s="33">
        <f t="shared" si="124"/>
        <v>4.8770000000000007</v>
      </c>
      <c r="I231" s="33">
        <f t="shared" si="124"/>
        <v>5.49</v>
      </c>
      <c r="J231" s="33">
        <f t="shared" si="124"/>
        <v>5.984</v>
      </c>
      <c r="K231" s="33">
        <f t="shared" si="124"/>
        <v>6.4270000000000005</v>
      </c>
      <c r="L231" s="37">
        <f t="shared" ca="1" si="124"/>
        <v>6.7018310327638169</v>
      </c>
      <c r="M231" s="37">
        <f t="shared" ca="1" si="124"/>
        <v>7.0243385306798025</v>
      </c>
      <c r="N231" s="37">
        <f t="shared" ca="1" si="124"/>
        <v>7.3235557005676402</v>
      </c>
      <c r="O231" s="37">
        <f t="shared" ca="1" si="124"/>
        <v>7.6346073133373089</v>
      </c>
      <c r="P231" s="37">
        <f t="shared" ca="1" si="124"/>
        <v>7.9663059689196389</v>
      </c>
      <c r="Q231" s="37">
        <f t="shared" ca="1" si="124"/>
        <v>8.3104818934547566</v>
      </c>
      <c r="R231" s="37">
        <f t="shared" ca="1" si="124"/>
        <v>8.6812756753465568</v>
      </c>
      <c r="S231" s="37">
        <f t="shared" ca="1" si="124"/>
        <v>9.0509751491994628</v>
      </c>
      <c r="T231" s="37">
        <f t="shared" ca="1" si="124"/>
        <v>9.4397855493021812</v>
      </c>
      <c r="U231" s="37">
        <f t="shared" ca="1" si="124"/>
        <v>9.8486301324983483</v>
      </c>
    </row>
    <row r="232" spans="1:21" x14ac:dyDescent="0.2">
      <c r="A232" s="1" t="s">
        <v>491</v>
      </c>
      <c r="B232" s="4" t="str">
        <f t="shared" si="123"/>
        <v>From Fiscal</v>
      </c>
      <c r="D232" s="14">
        <f>'Fiscal Forecasts'!D$264</f>
        <v>4.1040000000000001</v>
      </c>
      <c r="E232" s="14">
        <f>'Fiscal Forecasts'!E$264</f>
        <v>4.1660000000000004</v>
      </c>
      <c r="F232" s="14">
        <f>'Fiscal Forecasts'!F$264</f>
        <v>4.5869999999999997</v>
      </c>
      <c r="G232" s="15">
        <f>'Fiscal Forecasts'!G$264</f>
        <v>4.758</v>
      </c>
      <c r="H232" s="15">
        <f>'Fiscal Forecasts'!H$264</f>
        <v>4.8369999999999997</v>
      </c>
      <c r="I232" s="15">
        <f>'Fiscal Forecasts'!I$264</f>
        <v>5.3029999999999999</v>
      </c>
      <c r="J232" s="15">
        <f>'Fiscal Forecasts'!J$264</f>
        <v>5.758</v>
      </c>
      <c r="K232" s="15">
        <f>'Fiscal Forecasts'!K$264</f>
        <v>6.194</v>
      </c>
      <c r="L232" s="6">
        <f>K$232*Exogenous!S$25/Exogenous!R$25</f>
        <v>6.4667662875083698</v>
      </c>
      <c r="M232" s="6">
        <f>L$232*Exogenous!T$25/Exogenous!S$25</f>
        <v>6.7785557889107659</v>
      </c>
      <c r="N232" s="6">
        <f>M$232*Exogenous!U$25/Exogenous!T$25</f>
        <v>7.0668212953624687</v>
      </c>
      <c r="O232" s="6">
        <f>N$232*Exogenous!V$25/Exogenous!U$25</f>
        <v>7.3666408171766111</v>
      </c>
      <c r="P232" s="6">
        <f>O$232*Exogenous!W$25/Exogenous!V$25</f>
        <v>7.6867259623020319</v>
      </c>
      <c r="Q232" s="6">
        <f>P$232*Exogenous!X$25/Exogenous!W$25</f>
        <v>8.0188884561994787</v>
      </c>
      <c r="R232" s="6">
        <f>Q$232*Exogenous!Y$25/Exogenous!X$25</f>
        <v>8.3772895583866003</v>
      </c>
      <c r="S232" s="6">
        <f>R$232*Exogenous!Z$25/Exogenous!Y$25</f>
        <v>8.7341801945488893</v>
      </c>
      <c r="T232" s="6">
        <f>S$232*Exogenous!AA$25/Exogenous!Z$25</f>
        <v>9.1097539432008343</v>
      </c>
      <c r="U232" s="6">
        <f>T$232*Exogenous!AB$25/Exogenous!AA$25</f>
        <v>9.5048940475652408</v>
      </c>
    </row>
    <row r="233" spans="1:21" x14ac:dyDescent="0.2">
      <c r="A233" s="1" t="s">
        <v>492</v>
      </c>
      <c r="B233" s="4" t="str">
        <f t="shared" si="123"/>
        <v>From Fiscal</v>
      </c>
      <c r="D233" s="14">
        <f>SUM('Fiscal Forecasts'!D$265:D$266)</f>
        <v>6.0000000000000053E-3</v>
      </c>
      <c r="E233" s="14">
        <f>SUM('Fiscal Forecasts'!E$265:E$266)</f>
        <v>0.55900000000000005</v>
      </c>
      <c r="F233" s="14">
        <f>SUM('Fiscal Forecasts'!F$265:F$266)</f>
        <v>0.83099999999999996</v>
      </c>
      <c r="G233" s="15">
        <f>SUM('Fiscal Forecasts'!G$265:G$266)</f>
        <v>8.2000000000000003E-2</v>
      </c>
      <c r="H233" s="15">
        <f>SUM('Fiscal Forecasts'!H$265:H$266)</f>
        <v>0.04</v>
      </c>
      <c r="I233" s="15">
        <f>SUM('Fiscal Forecasts'!I$265:I$266)</f>
        <v>0.187</v>
      </c>
      <c r="J233" s="15">
        <f>SUM('Fiscal Forecasts'!J$265:J$266)</f>
        <v>0.22600000000000001</v>
      </c>
      <c r="K233" s="15">
        <f>SUM('Fiscal Forecasts'!K$265:K$266)</f>
        <v>0.23300000000000001</v>
      </c>
      <c r="L233" s="6">
        <f ca="1">IF(L$6=OFFSET(Assumptions!$B$8,0,$C$1),AVERAGE(I$233/I$13,J$233/J$13,K$233/K$13),K$233/K$13)*L$13</f>
        <v>0.23506474525544746</v>
      </c>
      <c r="M233" s="6">
        <f ca="1">IF(M$6=OFFSET(Assumptions!$B$8,0,$C$1),AVERAGE(J$233/J$13,K$233/K$13,L$233/L$13),L$233/L$13)*M$13</f>
        <v>0.24578274176903628</v>
      </c>
      <c r="N233" s="6">
        <f ca="1">IF(N$6=OFFSET(Assumptions!$B$8,0,$C$1),AVERAGE(K$233/K$13,L$233/L$13,M$233/M$13),M$233/M$13)*N$13</f>
        <v>0.2567344052051716</v>
      </c>
      <c r="O233" s="6">
        <f ca="1">IF(O$6=OFFSET(Assumptions!$B$8,0,$C$1),AVERAGE(L$233/L$13,M$233/M$13,N$233/N$13),N$233/N$13)*O$13</f>
        <v>0.26796649616069773</v>
      </c>
      <c r="P233" s="6">
        <f ca="1">IF(P$6=OFFSET(Assumptions!$B$8,0,$C$1),AVERAGE(M$233/M$13,N$233/N$13,O$233/O$13),O$233/O$13)*P$13</f>
        <v>0.2795800066176069</v>
      </c>
      <c r="Q233" s="6">
        <f ca="1">IF(Q$6=OFFSET(Assumptions!$B$8,0,$C$1),AVERAGE(N$233/N$13,O$233/O$13,P$233/P$13),P$233/P$13)*Q$13</f>
        <v>0.29159343725527825</v>
      </c>
      <c r="R233" s="6">
        <f ca="1">IF(R$6=OFFSET(Assumptions!$B$8,0,$C$1),AVERAGE(O$233/O$13,P$233/P$13,Q$233/Q$13),Q$233/Q$13)*R$13</f>
        <v>0.30398611695995698</v>
      </c>
      <c r="S233" s="6">
        <f ca="1">IF(S$6=OFFSET(Assumptions!$B$8,0,$C$1),AVERAGE(P$233/P$13,Q$233/Q$13,R$233/R$13),R$233/R$13)*S$13</f>
        <v>0.31679495465057378</v>
      </c>
      <c r="T233" s="6">
        <f ca="1">IF(T$6=OFFSET(Assumptions!$B$8,0,$C$1),AVERAGE(Q$233/Q$13,R$233/R$13,S$233/S$13),S$233/S$13)*T$13</f>
        <v>0.33003160610134608</v>
      </c>
      <c r="U233" s="6">
        <f ca="1">IF(U$6=OFFSET(Assumptions!$B$8,0,$C$1),AVERAGE(R$233/R$13,S$233/S$13,T$233/T$13),T$233/T$13)*U$13</f>
        <v>0.34373608493310798</v>
      </c>
    </row>
    <row r="234" spans="1:21" x14ac:dyDescent="0.2">
      <c r="B234" s="4"/>
      <c r="D234" s="14"/>
      <c r="E234" s="14"/>
      <c r="F234" s="14"/>
      <c r="G234" s="15"/>
      <c r="H234" s="15"/>
      <c r="I234" s="15"/>
      <c r="J234" s="15"/>
      <c r="K234" s="15"/>
      <c r="L234" s="6"/>
      <c r="M234" s="6"/>
      <c r="N234" s="6"/>
      <c r="O234" s="6"/>
      <c r="P234" s="6"/>
      <c r="Q234" s="6"/>
      <c r="R234" s="6"/>
      <c r="S234" s="6"/>
      <c r="T234" s="6"/>
      <c r="U234" s="6"/>
    </row>
    <row r="235" spans="1:21" x14ac:dyDescent="0.2">
      <c r="A235" s="18" t="s">
        <v>571</v>
      </c>
    </row>
    <row r="236" spans="1:21" ht="15" x14ac:dyDescent="0.25">
      <c r="A236" s="2" t="s">
        <v>493</v>
      </c>
      <c r="B236" s="4"/>
      <c r="D236" s="39">
        <f>SUM($D$237:D$237)</f>
        <v>0</v>
      </c>
      <c r="E236" s="39">
        <f>SUM($D$237:E$237)</f>
        <v>0</v>
      </c>
      <c r="F236" s="39">
        <f>SUM($D$237:F$237)</f>
        <v>0</v>
      </c>
      <c r="G236" s="38">
        <f>SUM($D$237:G$237)</f>
        <v>0.186</v>
      </c>
      <c r="H236" s="38">
        <f>SUM($D$237:H$237)</f>
        <v>0.76</v>
      </c>
      <c r="I236" s="38">
        <f>SUM($D$237:I$237)</f>
        <v>3.0699999999999994</v>
      </c>
      <c r="J236" s="38">
        <f>SUM($D$237:J$237)</f>
        <v>5.6859999999999999</v>
      </c>
      <c r="K236" s="38">
        <f>SUM($D$237:K$237)</f>
        <v>8.1289999999999996</v>
      </c>
      <c r="L236" s="7">
        <f ca="1">SUM($D$237:L$237)</f>
        <v>10.329000000000001</v>
      </c>
      <c r="M236" s="7">
        <f ca="1">SUM($D$237:M$237)</f>
        <v>12.628</v>
      </c>
      <c r="N236" s="7">
        <f ca="1">SUM($D$237:N$237)</f>
        <v>15.030455</v>
      </c>
      <c r="O236" s="7">
        <f ca="1">SUM($D$237:O$237)</f>
        <v>17.541020475</v>
      </c>
      <c r="P236" s="7">
        <f ca="1">SUM($D$237:P$237)</f>
        <v>20.164561396374999</v>
      </c>
      <c r="Q236" s="7">
        <f ca="1">SUM($D$237:Q$237)</f>
        <v>22.906161659211875</v>
      </c>
      <c r="R236" s="7">
        <f ca="1">SUM($D$237:R$237)</f>
        <v>25.77113393387641</v>
      </c>
      <c r="S236" s="7">
        <f ca="1">SUM($D$237:S$237)</f>
        <v>28.765029960900847</v>
      </c>
      <c r="T236" s="7">
        <f ca="1">SUM($D$237:T$237)</f>
        <v>31.893651309141383</v>
      </c>
      <c r="U236" s="7">
        <f ca="1">SUM($D$237:U$237)</f>
        <v>35.163060618052739</v>
      </c>
    </row>
    <row r="237" spans="1:21" x14ac:dyDescent="0.2">
      <c r="A237" s="1" t="s">
        <v>837</v>
      </c>
      <c r="B237" s="4" t="str">
        <f t="shared" si="123"/>
        <v>From Fiscal</v>
      </c>
      <c r="D237" s="14">
        <f>'Fiscal Forecasts'!D$21-'Fiscal Forecasts'!C$21</f>
        <v>0</v>
      </c>
      <c r="E237" s="14">
        <f>'Fiscal Forecasts'!E$21-'Fiscal Forecasts'!D$21</f>
        <v>0</v>
      </c>
      <c r="F237" s="14">
        <f>'Fiscal Forecasts'!F$21-'Fiscal Forecasts'!E$21</f>
        <v>0</v>
      </c>
      <c r="G237" s="15">
        <f>'Fiscal Forecasts'!G$21-'Fiscal Forecasts'!F$21 +IF($C$2="Yes",'Fiscal Forecast Adjuster'!C$26/1000,0)</f>
        <v>0.186</v>
      </c>
      <c r="H237" s="15">
        <f>'Fiscal Forecasts'!H$21-'Fiscal Forecasts'!G$21 +IF($C$2="Yes",'Fiscal Forecast Adjuster'!D$26/1000,0)</f>
        <v>0.57400000000000007</v>
      </c>
      <c r="I237" s="15">
        <f>'Fiscal Forecasts'!I$21-'Fiscal Forecasts'!H$21 +IF($C$2="Yes",'Fiscal Forecast Adjuster'!E$26/1000,0)</f>
        <v>2.3099999999999996</v>
      </c>
      <c r="J237" s="15">
        <f>'Fiscal Forecasts'!J$21-'Fiscal Forecasts'!I$21 +IF($C$2="Yes",'Fiscal Forecast Adjuster'!F$26/1000,0)</f>
        <v>2.6160000000000001</v>
      </c>
      <c r="K237" s="15">
        <f>'Fiscal Forecasts'!K$21-'Fiscal Forecasts'!J$21 +IF($C$2="Yes",'Fiscal Forecast Adjuster'!G$26/1000,0)</f>
        <v>2.4429999999999996</v>
      </c>
      <c r="L237" s="6">
        <f ca="1">IF(AND(OFFSET(Assumptions!$B$89,0,$C$1)="Yes",L$6&gt;=OFFSET(Assumptions!$B$90,0,$C$1)),L$238*L$13,IF(L$6=OFFSET(Assumptions!$B$8,0,$C$1),OFFSET(Assumptions!$B$64,0,$C$1),K$237*(1+OFFSET(Assumptions!$B$65,0,$C$1))))</f>
        <v>2.2000000000000002</v>
      </c>
      <c r="M237" s="6">
        <f ca="1">IF(AND(OFFSET(Assumptions!$B$89,0,$C$1)="Yes",M$6&gt;=OFFSET(Assumptions!$B$90,0,$C$1)),M$238*M$13,IF(M$6=OFFSET(Assumptions!$B$8,0,$C$1),OFFSET(Assumptions!$B$64,0,$C$1),L$237*(1+OFFSET(Assumptions!$B$65,0,$C$1))))</f>
        <v>2.2989999999999999</v>
      </c>
      <c r="N237" s="6">
        <f ca="1">IF(AND(OFFSET(Assumptions!$B$89,0,$C$1)="Yes",N$6&gt;=OFFSET(Assumptions!$B$90,0,$C$1)),N$238*N$13,IF(N$6=OFFSET(Assumptions!$B$8,0,$C$1),OFFSET(Assumptions!$B$64,0,$C$1),M$237*(1+OFFSET(Assumptions!$B$65,0,$C$1))))</f>
        <v>2.4024549999999998</v>
      </c>
      <c r="O237" s="6">
        <f ca="1">IF(AND(OFFSET(Assumptions!$B$89,0,$C$1)="Yes",O$6&gt;=OFFSET(Assumptions!$B$90,0,$C$1)),O$238*O$13,IF(O$6=OFFSET(Assumptions!$B$8,0,$C$1),OFFSET(Assumptions!$B$64,0,$C$1),N$237*(1+OFFSET(Assumptions!$B$65,0,$C$1))))</f>
        <v>2.5105654749999995</v>
      </c>
      <c r="P237" s="6">
        <f ca="1">IF(AND(OFFSET(Assumptions!$B$89,0,$C$1)="Yes",P$6&gt;=OFFSET(Assumptions!$B$90,0,$C$1)),P$238*P$13,IF(P$6=OFFSET(Assumptions!$B$8,0,$C$1),OFFSET(Assumptions!$B$64,0,$C$1),O$237*(1+OFFSET(Assumptions!$B$65,0,$C$1))))</f>
        <v>2.6235409213749992</v>
      </c>
      <c r="Q237" s="6">
        <f ca="1">IF(AND(OFFSET(Assumptions!$B$89,0,$C$1)="Yes",Q$6&gt;=OFFSET(Assumptions!$B$90,0,$C$1)),Q$238*Q$13,IF(Q$6=OFFSET(Assumptions!$B$8,0,$C$1),OFFSET(Assumptions!$B$64,0,$C$1),P$237*(1+OFFSET(Assumptions!$B$65,0,$C$1))))</f>
        <v>2.7416002628368741</v>
      </c>
      <c r="R237" s="6">
        <f ca="1">IF(AND(OFFSET(Assumptions!$B$89,0,$C$1)="Yes",R$6&gt;=OFFSET(Assumptions!$B$90,0,$C$1)),R$238*R$13,IF(R$6=OFFSET(Assumptions!$B$8,0,$C$1),OFFSET(Assumptions!$B$64,0,$C$1),Q$237*(1+OFFSET(Assumptions!$B$65,0,$C$1))))</f>
        <v>2.8649722746645332</v>
      </c>
      <c r="S237" s="6">
        <f ca="1">IF(AND(OFFSET(Assumptions!$B$89,0,$C$1)="Yes",S$6&gt;=OFFSET(Assumptions!$B$90,0,$C$1)),S$238*S$13,IF(S$6=OFFSET(Assumptions!$B$8,0,$C$1),OFFSET(Assumptions!$B$64,0,$C$1),R$237*(1+OFFSET(Assumptions!$B$65,0,$C$1))))</f>
        <v>2.9938960270244368</v>
      </c>
      <c r="T237" s="6">
        <f ca="1">IF(AND(OFFSET(Assumptions!$B$89,0,$C$1)="Yes",T$6&gt;=OFFSET(Assumptions!$B$90,0,$C$1)),T$238*T$13,IF(T$6=OFFSET(Assumptions!$B$8,0,$C$1),OFFSET(Assumptions!$B$64,0,$C$1),S$237*(1+OFFSET(Assumptions!$B$65,0,$C$1))))</f>
        <v>3.1286213482405363</v>
      </c>
      <c r="U237" s="6">
        <f ca="1">IF(AND(OFFSET(Assumptions!$B$89,0,$C$1)="Yes",U$6&gt;=OFFSET(Assumptions!$B$90,0,$C$1)),U$238*U$13,IF(U$6=OFFSET(Assumptions!$B$8,0,$C$1),OFFSET(Assumptions!$B$64,0,$C$1),T$237*(1+OFFSET(Assumptions!$B$65,0,$C$1))))</f>
        <v>3.2694093089113601</v>
      </c>
    </row>
    <row r="238" spans="1:21" x14ac:dyDescent="0.2">
      <c r="A238" s="1" t="s">
        <v>834</v>
      </c>
      <c r="B238" s="4"/>
      <c r="D238" s="50">
        <f t="shared" ref="D238:K238" si="125">D$237/D$13</f>
        <v>0</v>
      </c>
      <c r="E238" s="50">
        <f t="shared" si="125"/>
        <v>0</v>
      </c>
      <c r="F238" s="50">
        <f t="shared" si="125"/>
        <v>0</v>
      </c>
      <c r="G238" s="51">
        <f t="shared" si="125"/>
        <v>6.3913133117998765E-4</v>
      </c>
      <c r="H238" s="51">
        <f t="shared" si="125"/>
        <v>1.8844942890630387E-3</v>
      </c>
      <c r="I238" s="51">
        <f t="shared" si="125"/>
        <v>7.2194042585109267E-3</v>
      </c>
      <c r="J238" s="51">
        <f t="shared" si="125"/>
        <v>7.815464222441974E-3</v>
      </c>
      <c r="K238" s="51">
        <f t="shared" si="125"/>
        <v>6.9841505809166583E-3</v>
      </c>
      <c r="L238" s="8">
        <f ca="1">IF(K$75/K$13-OFFSET(Assumptions!$B$91,0,$C$1)&gt;OFFSET(Assumptions!$B$92,0,$C$1),OFFSET(Assumptions!$B$93,0,$C$1),IF(K$75/K$13-OFFSET(Assumptions!$B$91,0,$C$1)&lt;-OFFSET(Assumptions!$B$92,0,$C$1),OFFSET(Assumptions!$B$95,0,$C$1),OFFSET(Assumptions!$B$94,0,$C$1)))</f>
        <v>5.0000000000000001E-3</v>
      </c>
      <c r="M238" s="8">
        <f ca="1">IF(L$75/L$13-OFFSET(Assumptions!$B$91,0,$C$1)&gt;OFFSET(Assumptions!$B$92,0,$C$1),OFFSET(Assumptions!$B$93,0,$C$1),IF(L$75/L$13-OFFSET(Assumptions!$B$91,0,$C$1)&lt;-OFFSET(Assumptions!$B$92,0,$C$1),OFFSET(Assumptions!$B$95,0,$C$1),OFFSET(Assumptions!$B$94,0,$C$1)))</f>
        <v>5.0000000000000001E-3</v>
      </c>
      <c r="N238" s="8">
        <f ca="1">IF(M$75/M$13-OFFSET(Assumptions!$B$91,0,$C$1)&gt;OFFSET(Assumptions!$B$92,0,$C$1),OFFSET(Assumptions!$B$93,0,$C$1),IF(M$75/M$13-OFFSET(Assumptions!$B$91,0,$C$1)&lt;-OFFSET(Assumptions!$B$92,0,$C$1),OFFSET(Assumptions!$B$95,0,$C$1),OFFSET(Assumptions!$B$94,0,$C$1)))</f>
        <v>5.0000000000000001E-3</v>
      </c>
      <c r="O238" s="8">
        <f ca="1">IF(N$75/N$13-OFFSET(Assumptions!$B$91,0,$C$1)&gt;OFFSET(Assumptions!$B$92,0,$C$1),OFFSET(Assumptions!$B$93,0,$C$1),IF(N$75/N$13-OFFSET(Assumptions!$B$91,0,$C$1)&lt;-OFFSET(Assumptions!$B$92,0,$C$1),OFFSET(Assumptions!$B$95,0,$C$1),OFFSET(Assumptions!$B$94,0,$C$1)))</f>
        <v>5.0000000000000001E-3</v>
      </c>
      <c r="P238" s="8">
        <f ca="1">IF(O$75/O$13-OFFSET(Assumptions!$B$91,0,$C$1)&gt;OFFSET(Assumptions!$B$92,0,$C$1),OFFSET(Assumptions!$B$93,0,$C$1),IF(O$75/O$13-OFFSET(Assumptions!$B$91,0,$C$1)&lt;-OFFSET(Assumptions!$B$92,0,$C$1),OFFSET(Assumptions!$B$95,0,$C$1),OFFSET(Assumptions!$B$94,0,$C$1)))</f>
        <v>5.0000000000000001E-3</v>
      </c>
      <c r="Q238" s="8">
        <f ca="1">IF(P$75/P$13-OFFSET(Assumptions!$B$91,0,$C$1)&gt;OFFSET(Assumptions!$B$92,0,$C$1),OFFSET(Assumptions!$B$93,0,$C$1),IF(P$75/P$13-OFFSET(Assumptions!$B$91,0,$C$1)&lt;-OFFSET(Assumptions!$B$92,0,$C$1),OFFSET(Assumptions!$B$95,0,$C$1),OFFSET(Assumptions!$B$94,0,$C$1)))</f>
        <v>5.0000000000000001E-3</v>
      </c>
      <c r="R238" s="8">
        <f ca="1">IF(Q$75/Q$13-OFFSET(Assumptions!$B$91,0,$C$1)&gt;OFFSET(Assumptions!$B$92,0,$C$1),OFFSET(Assumptions!$B$93,0,$C$1),IF(Q$75/Q$13-OFFSET(Assumptions!$B$91,0,$C$1)&lt;-OFFSET(Assumptions!$B$92,0,$C$1),OFFSET(Assumptions!$B$95,0,$C$1),OFFSET(Assumptions!$B$94,0,$C$1)))</f>
        <v>5.0000000000000001E-3</v>
      </c>
      <c r="S238" s="8">
        <f ca="1">IF(R$75/R$13-OFFSET(Assumptions!$B$91,0,$C$1)&gt;OFFSET(Assumptions!$B$92,0,$C$1),OFFSET(Assumptions!$B$93,0,$C$1),IF(R$75/R$13-OFFSET(Assumptions!$B$91,0,$C$1)&lt;-OFFSET(Assumptions!$B$92,0,$C$1),OFFSET(Assumptions!$B$95,0,$C$1),OFFSET(Assumptions!$B$94,0,$C$1)))</f>
        <v>5.0000000000000001E-3</v>
      </c>
      <c r="T238" s="8">
        <f ca="1">IF(S$75/S$13-OFFSET(Assumptions!$B$91,0,$C$1)&gt;OFFSET(Assumptions!$B$92,0,$C$1),OFFSET(Assumptions!$B$93,0,$C$1),IF(S$75/S$13-OFFSET(Assumptions!$B$91,0,$C$1)&lt;-OFFSET(Assumptions!$B$92,0,$C$1),OFFSET(Assumptions!$B$95,0,$C$1),OFFSET(Assumptions!$B$94,0,$C$1)))</f>
        <v>5.0000000000000001E-3</v>
      </c>
      <c r="U238" s="8">
        <f ca="1">IF(T$75/T$13-OFFSET(Assumptions!$B$91,0,$C$1)&gt;OFFSET(Assumptions!$B$92,0,$C$1),OFFSET(Assumptions!$B$93,0,$C$1),IF(T$75/T$13-OFFSET(Assumptions!$B$91,0,$C$1)&lt;-OFFSET(Assumptions!$B$92,0,$C$1),OFFSET(Assumptions!$B$95,0,$C$1),OFFSET(Assumptions!$B$94,0,$C$1)))</f>
        <v>5.0000000000000001E-3</v>
      </c>
    </row>
    <row r="239" spans="1:21" ht="15" x14ac:dyDescent="0.25">
      <c r="A239" s="2" t="s">
        <v>152</v>
      </c>
      <c r="B239" s="4"/>
      <c r="D239" s="39">
        <f>SUM($D$240:D$240)</f>
        <v>0</v>
      </c>
      <c r="E239" s="39">
        <f>SUM($D$240:E$240)</f>
        <v>0</v>
      </c>
      <c r="F239" s="39">
        <f>SUM($D$240:F$240)</f>
        <v>0</v>
      </c>
      <c r="G239" s="38">
        <f>SUM($D$240:G$240)</f>
        <v>-0.3</v>
      </c>
      <c r="H239" s="38">
        <f>SUM($D$240:H$240)</f>
        <v>-1.145</v>
      </c>
      <c r="I239" s="38">
        <f>SUM($D$240:I$240)</f>
        <v>-0.32499999999999996</v>
      </c>
      <c r="J239" s="38">
        <f>SUM($D$240:J$240)</f>
        <v>-0.32499999999999996</v>
      </c>
      <c r="K239" s="38">
        <f>SUM($D$240:K$240)</f>
        <v>-0.27499999999999997</v>
      </c>
      <c r="L239" s="7">
        <f ca="1">SUM($D$240:L$240)</f>
        <v>-0.28737499999999999</v>
      </c>
      <c r="M239" s="7">
        <f ca="1">SUM($D$240:M$240)</f>
        <v>-0.30030687499999997</v>
      </c>
      <c r="N239" s="7">
        <f ca="1">SUM($D$240:N$240)</f>
        <v>-0.31382068437499999</v>
      </c>
      <c r="O239" s="7">
        <f ca="1">SUM($D$240:O$240)</f>
        <v>-0.32794261517187501</v>
      </c>
      <c r="P239" s="7">
        <f ca="1">SUM($D$240:P$240)</f>
        <v>-0.34270003285460937</v>
      </c>
      <c r="Q239" s="7">
        <f ca="1">SUM($D$240:Q$240)</f>
        <v>-0.35812153433306682</v>
      </c>
      <c r="R239" s="7">
        <f ca="1">SUM($D$240:R$240)</f>
        <v>-0.37423700337805482</v>
      </c>
      <c r="S239" s="7">
        <f ca="1">SUM($D$240:S$240)</f>
        <v>-0.39107766853006731</v>
      </c>
      <c r="T239" s="7">
        <f ca="1">SUM($D$240:T$240)</f>
        <v>-0.40867616361392034</v>
      </c>
      <c r="U239" s="7">
        <f ca="1">SUM($D$240:U$240)</f>
        <v>-0.42706659097654676</v>
      </c>
    </row>
    <row r="240" spans="1:21" x14ac:dyDescent="0.2">
      <c r="A240" s="1" t="s">
        <v>838</v>
      </c>
      <c r="B240" s="4" t="str">
        <f t="shared" si="123"/>
        <v>From Fiscal</v>
      </c>
      <c r="D240" s="14">
        <f>'Fiscal Forecasts'!D$22-'Fiscal Forecasts'!C$22</f>
        <v>0</v>
      </c>
      <c r="E240" s="14">
        <f>'Fiscal Forecasts'!E$22-'Fiscal Forecasts'!D$22</f>
        <v>0</v>
      </c>
      <c r="F240" s="14">
        <f>'Fiscal Forecasts'!F$22-'Fiscal Forecasts'!E$22</f>
        <v>0</v>
      </c>
      <c r="G240" s="15">
        <f>'Fiscal Forecasts'!G$22-'Fiscal Forecasts'!F$22</f>
        <v>-0.3</v>
      </c>
      <c r="H240" s="15">
        <f>'Fiscal Forecasts'!H$22-'Fiscal Forecasts'!G$22</f>
        <v>-0.84499999999999997</v>
      </c>
      <c r="I240" s="15">
        <f>'Fiscal Forecasts'!I$22-'Fiscal Forecasts'!H$22</f>
        <v>0.82000000000000006</v>
      </c>
      <c r="J240" s="15">
        <f>'Fiscal Forecasts'!J$22-'Fiscal Forecasts'!I$22</f>
        <v>0</v>
      </c>
      <c r="K240" s="15">
        <f>'Fiscal Forecasts'!K$22-'Fiscal Forecasts'!J$22</f>
        <v>4.9999999999999989E-2</v>
      </c>
      <c r="L240" s="6">
        <f ca="1">SUM($D$240:K$240)*OFFSET(Assumptions!$B$65,0,$C$1)</f>
        <v>-1.2374999999999999E-2</v>
      </c>
      <c r="M240" s="6">
        <f ca="1">SUM($D$240:L$240)*OFFSET(Assumptions!$B$65,0,$C$1)</f>
        <v>-1.2931874999999999E-2</v>
      </c>
      <c r="N240" s="6">
        <f ca="1">SUM($D$240:M$240)*OFFSET(Assumptions!$B$65,0,$C$1)</f>
        <v>-1.3513809374999998E-2</v>
      </c>
      <c r="O240" s="6">
        <f ca="1">SUM($D$240:N$240)*OFFSET(Assumptions!$B$65,0,$C$1)</f>
        <v>-1.4121930796875E-2</v>
      </c>
      <c r="P240" s="6">
        <f ca="1">SUM($D$240:O$240)*OFFSET(Assumptions!$B$65,0,$C$1)</f>
        <v>-1.4757417682734374E-2</v>
      </c>
      <c r="Q240" s="6">
        <f ca="1">SUM($D$240:P$240)*OFFSET(Assumptions!$B$65,0,$C$1)</f>
        <v>-1.5421501478457422E-2</v>
      </c>
      <c r="R240" s="6">
        <f ca="1">SUM($D$240:Q$240)*OFFSET(Assumptions!$B$65,0,$C$1)</f>
        <v>-1.6115469044988007E-2</v>
      </c>
      <c r="S240" s="6">
        <f ca="1">SUM($D$240:R$240)*OFFSET(Assumptions!$B$65,0,$C$1)</f>
        <v>-1.6840665152012466E-2</v>
      </c>
      <c r="T240" s="6">
        <f ca="1">SUM($D$240:S$240)*OFFSET(Assumptions!$B$65,0,$C$1)</f>
        <v>-1.7598495083853027E-2</v>
      </c>
      <c r="U240" s="6">
        <f ca="1">SUM($D$240:T$240)*OFFSET(Assumptions!$B$65,0,$C$1)</f>
        <v>-1.8390427362626416E-2</v>
      </c>
    </row>
    <row r="241" spans="1:21" x14ac:dyDescent="0.2">
      <c r="B241" s="4"/>
      <c r="D241" s="14"/>
      <c r="E241" s="14"/>
      <c r="F241" s="14"/>
      <c r="G241" s="15"/>
      <c r="H241" s="15"/>
      <c r="I241" s="15"/>
      <c r="J241" s="15"/>
      <c r="K241" s="15"/>
      <c r="L241" s="6"/>
      <c r="M241" s="6"/>
      <c r="N241" s="6"/>
      <c r="O241" s="6"/>
      <c r="P241" s="6"/>
      <c r="Q241" s="6"/>
      <c r="R241" s="6"/>
      <c r="S241" s="6"/>
      <c r="T241" s="6"/>
      <c r="U241" s="6"/>
    </row>
    <row r="242" spans="1:21" x14ac:dyDescent="0.2">
      <c r="A242" s="18" t="s">
        <v>572</v>
      </c>
    </row>
    <row r="243" spans="1:21" ht="15" x14ac:dyDescent="0.25">
      <c r="A243" s="2" t="s">
        <v>573</v>
      </c>
      <c r="B243" s="4" t="str">
        <f t="shared" si="123"/>
        <v>From Fiscal</v>
      </c>
      <c r="D243" s="39">
        <f>'Fiscal Forecasts'!D$64</f>
        <v>0.35799999999999998</v>
      </c>
      <c r="E243" s="39">
        <f>'Fiscal Forecasts'!E$64</f>
        <v>0.27100000000000002</v>
      </c>
      <c r="F243" s="39">
        <f>'Fiscal Forecasts'!F$64</f>
        <v>0.217</v>
      </c>
      <c r="G243" s="38">
        <f>'Fiscal Forecasts'!G$64</f>
        <v>0.15</v>
      </c>
      <c r="H243" s="38">
        <f>'Fiscal Forecasts'!H$64</f>
        <v>0.122</v>
      </c>
      <c r="I243" s="38">
        <f>'Fiscal Forecasts'!I$64</f>
        <v>0.14799999999999999</v>
      </c>
      <c r="J243" s="38">
        <f>'Fiscal Forecasts'!J$64</f>
        <v>0.185</v>
      </c>
      <c r="K243" s="38">
        <f>'Fiscal Forecasts'!K$64</f>
        <v>0.21299999999999999</v>
      </c>
      <c r="L243" s="7">
        <f>K$243*Exogenous!S$32/Exogenous!R$32</f>
        <v>0.20938983050847459</v>
      </c>
      <c r="M243" s="7">
        <f>L$243*Exogenous!T$32/Exogenous!S$32</f>
        <v>0.21093704600484259</v>
      </c>
      <c r="N243" s="7">
        <f>M$243*Exogenous!U$32/Exogenous!T$32</f>
        <v>0.21196852300242128</v>
      </c>
      <c r="O243" s="7">
        <f>N$243*Exogenous!V$32/Exogenous!U$32</f>
        <v>0.21299999999999997</v>
      </c>
      <c r="P243" s="7">
        <f>O$243*Exogenous!W$32/Exogenous!V$32</f>
        <v>0.21351573849878933</v>
      </c>
      <c r="Q243" s="7">
        <f>P$243*Exogenous!X$32/Exogenous!W$32</f>
        <v>0.21093704600484262</v>
      </c>
      <c r="R243" s="7">
        <f>Q$243*Exogenous!Y$32/Exogenous!X$32</f>
        <v>0.2026852300242131</v>
      </c>
      <c r="S243" s="7">
        <f>R$243*Exogenous!Z$32/Exogenous!Y$32</f>
        <v>0.19494915254237291</v>
      </c>
      <c r="T243" s="7">
        <f>S$243*Exogenous!AA$32/Exogenous!Z$32</f>
        <v>0.18618159806295401</v>
      </c>
      <c r="U243" s="7">
        <f>T$243*Exogenous!AB$32/Exogenous!AA$32</f>
        <v>0.1774140435835351</v>
      </c>
    </row>
    <row r="244" spans="1:21" ht="15" x14ac:dyDescent="0.25">
      <c r="A244" s="2" t="s">
        <v>574</v>
      </c>
      <c r="B244" s="4" t="str">
        <f t="shared" si="123"/>
        <v>From Fiscal</v>
      </c>
      <c r="D244" s="39">
        <f>'Fiscal Forecasts'!D$47</f>
        <v>0.373</v>
      </c>
      <c r="E244" s="39">
        <f>'Fiscal Forecasts'!E$47</f>
        <v>0.28599999999999998</v>
      </c>
      <c r="F244" s="39">
        <f>'Fiscal Forecasts'!F$47</f>
        <v>0.23100000000000001</v>
      </c>
      <c r="G244" s="38">
        <f>'Fiscal Forecasts'!G$47</f>
        <v>0.16300000000000001</v>
      </c>
      <c r="H244" s="38">
        <f>'Fiscal Forecasts'!H$47</f>
        <v>0.13500000000000001</v>
      </c>
      <c r="I244" s="38">
        <f>'Fiscal Forecasts'!I$47</f>
        <v>0.161</v>
      </c>
      <c r="J244" s="38">
        <f>'Fiscal Forecasts'!J$47</f>
        <v>0.19800000000000001</v>
      </c>
      <c r="K244" s="38">
        <f>'Fiscal Forecasts'!K$47</f>
        <v>0.22600000000000001</v>
      </c>
      <c r="L244" s="7">
        <f>K$244*Exogenous!S$32/Exogenous!R$32</f>
        <v>0.22216949152542376</v>
      </c>
      <c r="M244" s="7">
        <f>L$244*Exogenous!T$32/Exogenous!S$32</f>
        <v>0.22381113801452784</v>
      </c>
      <c r="N244" s="7">
        <f>M$244*Exogenous!U$32/Exogenous!T$32</f>
        <v>0.22490556900726391</v>
      </c>
      <c r="O244" s="7">
        <f>N$244*Exogenous!V$32/Exogenous!U$32</f>
        <v>0.22600000000000001</v>
      </c>
      <c r="P244" s="7">
        <f>O$244*Exogenous!W$32/Exogenous!V$32</f>
        <v>0.22654721549636803</v>
      </c>
      <c r="Q244" s="7">
        <f>P$244*Exogenous!X$32/Exogenous!W$32</f>
        <v>0.22381113801452784</v>
      </c>
      <c r="R244" s="7">
        <f>Q$244*Exogenous!Y$32/Exogenous!X$32</f>
        <v>0.21505569007263925</v>
      </c>
      <c r="S244" s="7">
        <f>R$244*Exogenous!Z$32/Exogenous!Y$32</f>
        <v>0.20684745762711865</v>
      </c>
      <c r="T244" s="7">
        <f>S$244*Exogenous!AA$32/Exogenous!Z$32</f>
        <v>0.19754479418886198</v>
      </c>
      <c r="U244" s="7">
        <f>T$244*Exogenous!AB$32/Exogenous!AA$32</f>
        <v>0.18824213075060531</v>
      </c>
    </row>
    <row r="245" spans="1:21" ht="15" x14ac:dyDescent="0.25">
      <c r="A245" s="2"/>
      <c r="B245" s="4"/>
      <c r="D245" s="39"/>
      <c r="E245" s="39"/>
      <c r="F245" s="39"/>
      <c r="G245" s="38"/>
      <c r="H245" s="38"/>
      <c r="I245" s="38"/>
      <c r="J245" s="38"/>
      <c r="K245" s="38"/>
      <c r="L245" s="7"/>
      <c r="M245" s="7"/>
      <c r="N245" s="7"/>
      <c r="O245" s="7"/>
      <c r="P245" s="7"/>
      <c r="Q245" s="7"/>
      <c r="R245" s="7"/>
      <c r="S245" s="7"/>
      <c r="T245" s="7"/>
      <c r="U245" s="7"/>
    </row>
    <row r="246" spans="1:21" x14ac:dyDescent="0.2">
      <c r="A246" s="18" t="s">
        <v>496</v>
      </c>
    </row>
    <row r="247" spans="1:21" x14ac:dyDescent="0.2">
      <c r="A247" s="1" t="s">
        <v>298</v>
      </c>
      <c r="B247" s="4" t="str">
        <f>$B$37</f>
        <v>From Fiscal</v>
      </c>
      <c r="D247" s="14">
        <f>'Fiscal Forecasts'!D$53</f>
        <v>15.058</v>
      </c>
      <c r="E247" s="14">
        <f>'Fiscal Forecasts'!E$53</f>
        <v>15.625999999999999</v>
      </c>
      <c r="F247" s="14">
        <f>'Fiscal Forecasts'!F$53</f>
        <v>16.222999999999999</v>
      </c>
      <c r="G247" s="15">
        <f>'Fiscal Forecasts'!G$53</f>
        <v>17.184999999999999</v>
      </c>
      <c r="H247" s="15">
        <f>'Fiscal Forecasts'!H$53</f>
        <v>18.071000000000002</v>
      </c>
      <c r="I247" s="15">
        <f>'Fiscal Forecasts'!I$53</f>
        <v>18.081</v>
      </c>
      <c r="J247" s="15">
        <f>'Fiscal Forecasts'!J$53</f>
        <v>17.988</v>
      </c>
      <c r="K247" s="15">
        <f>'Fiscal Forecasts'!K$53</f>
        <v>18.091999999999999</v>
      </c>
      <c r="L247" s="6">
        <f>K$247</f>
        <v>18.091999999999999</v>
      </c>
      <c r="M247" s="6">
        <f t="shared" ref="M247:U247" si="126">L$247</f>
        <v>18.091999999999999</v>
      </c>
      <c r="N247" s="6">
        <f t="shared" si="126"/>
        <v>18.091999999999999</v>
      </c>
      <c r="O247" s="6">
        <f t="shared" si="126"/>
        <v>18.091999999999999</v>
      </c>
      <c r="P247" s="6">
        <f t="shared" si="126"/>
        <v>18.091999999999999</v>
      </c>
      <c r="Q247" s="6">
        <f t="shared" si="126"/>
        <v>18.091999999999999</v>
      </c>
      <c r="R247" s="6">
        <f t="shared" si="126"/>
        <v>18.091999999999999</v>
      </c>
      <c r="S247" s="6">
        <f t="shared" si="126"/>
        <v>18.091999999999999</v>
      </c>
      <c r="T247" s="6">
        <f t="shared" si="126"/>
        <v>18.091999999999999</v>
      </c>
      <c r="U247" s="6">
        <f t="shared" si="126"/>
        <v>18.091999999999999</v>
      </c>
    </row>
    <row r="248" spans="1:21" x14ac:dyDescent="0.2">
      <c r="A248" s="1" t="s">
        <v>272</v>
      </c>
      <c r="B248" s="4" t="str">
        <f>$B$37</f>
        <v>From Fiscal</v>
      </c>
      <c r="D248" s="14">
        <f>'Fiscal Forecasts'!D$193</f>
        <v>12.922000000000001</v>
      </c>
      <c r="E248" s="14">
        <f>'Fiscal Forecasts'!E$193</f>
        <v>13.347</v>
      </c>
      <c r="F248" s="14">
        <f>'Fiscal Forecasts'!F$193</f>
        <v>13.955</v>
      </c>
      <c r="G248" s="15">
        <f>'Fiscal Forecasts'!G$193</f>
        <v>14.637</v>
      </c>
      <c r="H248" s="15">
        <f>'Fiscal Forecasts'!H$193</f>
        <v>15.157999999999999</v>
      </c>
      <c r="I248" s="15">
        <f>'Fiscal Forecasts'!I$193</f>
        <v>15.186</v>
      </c>
      <c r="J248" s="15">
        <f>'Fiscal Forecasts'!J$193</f>
        <v>15.101000000000001</v>
      </c>
      <c r="K248" s="15">
        <f>'Fiscal Forecasts'!K$193</f>
        <v>15.156000000000001</v>
      </c>
      <c r="L248" s="6">
        <f ca="1">IF(L$6=OFFSET(Assumptions!$B$8,0,$C$1),AVERAGE(I$248/I$247,J$248/J$247,K$248/K$247),K$248/K$247)*L$247</f>
        <v>15.179849062252993</v>
      </c>
      <c r="M248" s="6">
        <f ca="1">IF(M$6=OFFSET(Assumptions!$B$8,0,$C$1),AVERAGE(J$248/J$247,K$248/K$247,L$248/L$247),L$248/L$247)*M$247</f>
        <v>15.179849062252993</v>
      </c>
      <c r="N248" s="6">
        <f ca="1">IF(N$6=OFFSET(Assumptions!$B$8,0,$C$1),AVERAGE(K$248/K$247,L$248/L$247,M$248/M$247),M$248/M$247)*N$247</f>
        <v>15.179849062252993</v>
      </c>
      <c r="O248" s="6">
        <f ca="1">IF(O$6=OFFSET(Assumptions!$B$8,0,$C$1),AVERAGE(L$248/L$247,M$248/M$247,N$248/N$247),N$248/N$247)*O$247</f>
        <v>15.179849062252993</v>
      </c>
      <c r="P248" s="6">
        <f ca="1">IF(P$6=OFFSET(Assumptions!$B$8,0,$C$1),AVERAGE(M$248/M$247,N$248/N$247,O$248/O$247),O$248/O$247)*P$247</f>
        <v>15.179849062252993</v>
      </c>
      <c r="Q248" s="6">
        <f ca="1">IF(Q$6=OFFSET(Assumptions!$B$8,0,$C$1),AVERAGE(N$248/N$247,O$248/O$247,P$248/P$247),P$248/P$247)*Q$247</f>
        <v>15.179849062252993</v>
      </c>
      <c r="R248" s="6">
        <f ca="1">IF(R$6=OFFSET(Assumptions!$B$8,0,$C$1),AVERAGE(O$248/O$247,P$248/P$247,Q$248/Q$247),Q$248/Q$247)*R$247</f>
        <v>15.179849062252993</v>
      </c>
      <c r="S248" s="6">
        <f ca="1">IF(S$6=OFFSET(Assumptions!$B$8,0,$C$1),AVERAGE(P$248/P$247,Q$248/Q$247,R$248/R$247),R$248/R$247)*S$247</f>
        <v>15.179849062252993</v>
      </c>
      <c r="T248" s="6">
        <f ca="1">IF(T$6=OFFSET(Assumptions!$B$8,0,$C$1),AVERAGE(Q$248/Q$247,R$248/R$247,S$248/S$247),S$248/S$247)*T$247</f>
        <v>15.179849062252993</v>
      </c>
      <c r="U248" s="6">
        <f ca="1">IF(U$6=OFFSET(Assumptions!$B$8,0,$C$1),AVERAGE(R$248/R$247,S$248/S$247,T$248/T$247),T$248/T$247)*U$247</f>
        <v>15.179849062252993</v>
      </c>
    </row>
    <row r="249" spans="1:21" x14ac:dyDescent="0.2">
      <c r="A249" s="1" t="s">
        <v>484</v>
      </c>
      <c r="B249" s="4" t="str">
        <f>$B$37</f>
        <v>From Fiscal</v>
      </c>
      <c r="D249" s="14">
        <f>'Fiscal Forecasts'!D$36-SUM(D$247:D$248)</f>
        <v>-13.284000000000001</v>
      </c>
      <c r="E249" s="14">
        <f>'Fiscal Forecasts'!E$36-SUM(E$247:E$248)</f>
        <v>-13.812999999999999</v>
      </c>
      <c r="F249" s="14">
        <f>'Fiscal Forecasts'!F$36-SUM(F$247:F$248)</f>
        <v>-14.532999999999998</v>
      </c>
      <c r="G249" s="15">
        <f>'Fiscal Forecasts'!G$36-SUM(G$247:G$248)</f>
        <v>-15.035999999999998</v>
      </c>
      <c r="H249" s="15">
        <f>'Fiscal Forecasts'!H$36-SUM(H$247:H$248)</f>
        <v>-15.721999999999998</v>
      </c>
      <c r="I249" s="15">
        <f>'Fiscal Forecasts'!I$36-SUM(I$247:I$248)</f>
        <v>-15.724999999999994</v>
      </c>
      <c r="J249" s="15">
        <f>'Fiscal Forecasts'!J$36-SUM(J$247:J$248)</f>
        <v>-15.677</v>
      </c>
      <c r="K249" s="15">
        <f>'Fiscal Forecasts'!K$36-SUM(K$247:K$248)</f>
        <v>-15.746999999999996</v>
      </c>
      <c r="L249" s="6">
        <f ca="1">IF(L$6=OFFSET(Assumptions!$B$8,0,$C$1),AVERAGE(I$249/I$247,J$249/J$247,K$249/K$247),K$249/K$247)*L$247</f>
        <v>-15.749735106728288</v>
      </c>
      <c r="M249" s="6">
        <f ca="1">IF(M$6=OFFSET(Assumptions!$B$8,0,$C$1),AVERAGE(J$249/J$247,K$249/K$247,L$249/L$247),L$249/L$247)*M$247</f>
        <v>-15.749735106728288</v>
      </c>
      <c r="N249" s="6">
        <f ca="1">IF(N$6=OFFSET(Assumptions!$B$8,0,$C$1),AVERAGE(K$249/K$247,L$249/L$247,M$249/M$247),M$249/M$247)*N$247</f>
        <v>-15.749735106728288</v>
      </c>
      <c r="O249" s="6">
        <f ca="1">IF(O$6=OFFSET(Assumptions!$B$8,0,$C$1),AVERAGE(L$249/L$247,M$249/M$247,N$249/N$247),N$249/N$247)*O$247</f>
        <v>-15.749735106728288</v>
      </c>
      <c r="P249" s="6">
        <f ca="1">IF(P$6=OFFSET(Assumptions!$B$8,0,$C$1),AVERAGE(M$249/M$247,N$249/N$247,O$249/O$247),O$249/O$247)*P$247</f>
        <v>-15.749735106728288</v>
      </c>
      <c r="Q249" s="6">
        <f ca="1">IF(Q$6=OFFSET(Assumptions!$B$8,0,$C$1),AVERAGE(N$249/N$247,O$249/O$247,P$249/P$247),P$249/P$247)*Q$247</f>
        <v>-15.749735106728288</v>
      </c>
      <c r="R249" s="6">
        <f ca="1">IF(R$6=OFFSET(Assumptions!$B$8,0,$C$1),AVERAGE(O$249/O$247,P$249/P$247,Q$249/Q$247),Q$249/Q$247)*R$247</f>
        <v>-15.749735106728288</v>
      </c>
      <c r="S249" s="6">
        <f ca="1">IF(S$6=OFFSET(Assumptions!$B$8,0,$C$1),AVERAGE(P$249/P$247,Q$249/Q$247,R$249/R$247),R$249/R$247)*S$247</f>
        <v>-15.749735106728288</v>
      </c>
      <c r="T249" s="6">
        <f ca="1">IF(T$6=OFFSET(Assumptions!$B$8,0,$C$1),AVERAGE(Q$249/Q$247,R$249/R$247,S$249/S$247),S$249/S$247)*T$247</f>
        <v>-15.749735106728288</v>
      </c>
      <c r="U249" s="6">
        <f ca="1">IF(U$6=OFFSET(Assumptions!$B$8,0,$C$1),AVERAGE(R$249/R$247,S$249/S$247,T$249/T$247),T$249/T$247)*U$247</f>
        <v>-15.749735106728288</v>
      </c>
    </row>
    <row r="250" spans="1:21" ht="15" x14ac:dyDescent="0.25">
      <c r="A250" s="2" t="s">
        <v>497</v>
      </c>
      <c r="D250" s="34">
        <f t="shared" ref="D250:U250" si="127">SUM(D$247:D$249)</f>
        <v>14.696</v>
      </c>
      <c r="E250" s="34">
        <f t="shared" si="127"/>
        <v>15.16</v>
      </c>
      <c r="F250" s="34">
        <f t="shared" si="127"/>
        <v>15.645</v>
      </c>
      <c r="G250" s="33">
        <f t="shared" si="127"/>
        <v>16.786000000000001</v>
      </c>
      <c r="H250" s="33">
        <f t="shared" si="127"/>
        <v>17.507000000000001</v>
      </c>
      <c r="I250" s="33">
        <f t="shared" si="127"/>
        <v>17.542000000000002</v>
      </c>
      <c r="J250" s="33">
        <f t="shared" si="127"/>
        <v>17.411999999999999</v>
      </c>
      <c r="K250" s="33">
        <f t="shared" si="127"/>
        <v>17.501000000000001</v>
      </c>
      <c r="L250" s="37">
        <f t="shared" ca="1" si="127"/>
        <v>17.522113955524702</v>
      </c>
      <c r="M250" s="37">
        <f t="shared" ca="1" si="127"/>
        <v>17.522113955524702</v>
      </c>
      <c r="N250" s="37">
        <f t="shared" ca="1" si="127"/>
        <v>17.522113955524702</v>
      </c>
      <c r="O250" s="37">
        <f t="shared" ca="1" si="127"/>
        <v>17.522113955524702</v>
      </c>
      <c r="P250" s="37">
        <f t="shared" ca="1" si="127"/>
        <v>17.522113955524702</v>
      </c>
      <c r="Q250" s="37">
        <f t="shared" ca="1" si="127"/>
        <v>17.522113955524702</v>
      </c>
      <c r="R250" s="37">
        <f t="shared" ca="1" si="127"/>
        <v>17.522113955524702</v>
      </c>
      <c r="S250" s="37">
        <f t="shared" ca="1" si="127"/>
        <v>17.522113955524702</v>
      </c>
      <c r="T250" s="37">
        <f t="shared" ca="1" si="127"/>
        <v>17.522113955524702</v>
      </c>
      <c r="U250" s="37">
        <f t="shared" ca="1" si="127"/>
        <v>17.522113955524702</v>
      </c>
    </row>
    <row r="251" spans="1:21" ht="15" x14ac:dyDescent="0.25">
      <c r="A251" s="2"/>
      <c r="D251" s="46"/>
      <c r="E251" s="46"/>
      <c r="F251" s="46"/>
      <c r="G251" s="47"/>
      <c r="H251" s="47"/>
      <c r="I251" s="47"/>
      <c r="J251" s="47"/>
      <c r="K251" s="47"/>
      <c r="L251" s="48"/>
      <c r="M251" s="48"/>
      <c r="N251" s="48"/>
      <c r="O251" s="48"/>
      <c r="P251" s="48"/>
      <c r="Q251" s="48"/>
      <c r="R251" s="48"/>
      <c r="S251" s="48"/>
      <c r="T251" s="48"/>
      <c r="U251" s="48"/>
    </row>
    <row r="252" spans="1:21" x14ac:dyDescent="0.2">
      <c r="A252" s="18" t="s">
        <v>498</v>
      </c>
    </row>
    <row r="253" spans="1:21" x14ac:dyDescent="0.2">
      <c r="A253" s="1" t="s">
        <v>293</v>
      </c>
      <c r="D253" s="14">
        <f t="shared" ref="D253:U253" si="128">D$178</f>
        <v>0.51100000000000001</v>
      </c>
      <c r="E253" s="14">
        <f t="shared" si="128"/>
        <v>0.48599999999999999</v>
      </c>
      <c r="F253" s="14">
        <f t="shared" si="128"/>
        <v>0.46500000000000002</v>
      </c>
      <c r="G253" s="15">
        <f t="shared" si="128"/>
        <v>0.50900000000000001</v>
      </c>
      <c r="H253" s="15">
        <f t="shared" si="128"/>
        <v>0.58099999999999996</v>
      </c>
      <c r="I253" s="15">
        <f t="shared" si="128"/>
        <v>0.59</v>
      </c>
      <c r="J253" s="15">
        <f t="shared" si="128"/>
        <v>0.60799999999999998</v>
      </c>
      <c r="K253" s="15">
        <f t="shared" si="128"/>
        <v>0.626</v>
      </c>
      <c r="L253" s="6">
        <f t="shared" ca="1" si="128"/>
        <v>0.64567351220231128</v>
      </c>
      <c r="M253" s="6">
        <f t="shared" ca="1" si="128"/>
        <v>0.66578915149034679</v>
      </c>
      <c r="N253" s="6">
        <f t="shared" ca="1" si="128"/>
        <v>0.68655386872679935</v>
      </c>
      <c r="O253" s="6">
        <f t="shared" ca="1" si="128"/>
        <v>0.70760945854980395</v>
      </c>
      <c r="P253" s="6">
        <f t="shared" ca="1" si="128"/>
        <v>0.72894877235418698</v>
      </c>
      <c r="Q253" s="6">
        <f t="shared" ca="1" si="128"/>
        <v>0.75064570637928718</v>
      </c>
      <c r="R253" s="6">
        <f t="shared" ca="1" si="128"/>
        <v>0.77250024082221957</v>
      </c>
      <c r="S253" s="6">
        <f t="shared" ca="1" si="128"/>
        <v>0.79474440199590624</v>
      </c>
      <c r="T253" s="6">
        <f t="shared" ca="1" si="128"/>
        <v>0.81741207510311642</v>
      </c>
      <c r="U253" s="6">
        <f t="shared" ca="1" si="128"/>
        <v>0.84065565166648282</v>
      </c>
    </row>
    <row r="254" spans="1:21" x14ac:dyDescent="0.2">
      <c r="A254" s="1" t="s">
        <v>499</v>
      </c>
      <c r="D254" s="14">
        <f t="shared" ref="D254:U254" si="129">SUM(D$391,D$394)</f>
        <v>0.871</v>
      </c>
      <c r="E254" s="14">
        <f t="shared" si="129"/>
        <v>0.79900000000000004</v>
      </c>
      <c r="F254" s="14">
        <f t="shared" si="129"/>
        <v>0.60000000000000009</v>
      </c>
      <c r="G254" s="15">
        <f t="shared" si="129"/>
        <v>0.502</v>
      </c>
      <c r="H254" s="15">
        <f t="shared" si="129"/>
        <v>0.61</v>
      </c>
      <c r="I254" s="15">
        <f t="shared" si="129"/>
        <v>0.626</v>
      </c>
      <c r="J254" s="15">
        <f t="shared" si="129"/>
        <v>0.64900000000000002</v>
      </c>
      <c r="K254" s="15">
        <f t="shared" si="129"/>
        <v>0.66600000000000004</v>
      </c>
      <c r="L254" s="6">
        <f t="shared" si="129"/>
        <v>0.70199999999999996</v>
      </c>
      <c r="M254" s="6">
        <f t="shared" si="129"/>
        <v>0.72399999999999998</v>
      </c>
      <c r="N254" s="6">
        <f t="shared" si="129"/>
        <v>0.745</v>
      </c>
      <c r="O254" s="6">
        <f t="shared" si="129"/>
        <v>0.76600000000000001</v>
      </c>
      <c r="P254" s="6">
        <f t="shared" si="129"/>
        <v>0.78900000000000003</v>
      </c>
      <c r="Q254" s="6">
        <f t="shared" si="129"/>
        <v>0.81399999999999995</v>
      </c>
      <c r="R254" s="6">
        <f t="shared" si="129"/>
        <v>0.83799999999999997</v>
      </c>
      <c r="S254" s="6">
        <f t="shared" si="129"/>
        <v>0.86099999999999999</v>
      </c>
      <c r="T254" s="6">
        <f t="shared" si="129"/>
        <v>0.88400000000000001</v>
      </c>
      <c r="U254" s="6">
        <f t="shared" si="129"/>
        <v>0.90600000000000003</v>
      </c>
    </row>
    <row r="255" spans="1:21" x14ac:dyDescent="0.2">
      <c r="A255" s="1" t="s">
        <v>502</v>
      </c>
      <c r="B255" s="4" t="str">
        <f>$B$37</f>
        <v>From Fiscal</v>
      </c>
      <c r="D255" s="14">
        <f>'Fiscal Forecasts'!D$54-SUM(D$253:D$254)</f>
        <v>11.497</v>
      </c>
      <c r="E255" s="14">
        <f>'Fiscal Forecasts'!E$54-SUM(E$253:E$254)</f>
        <v>11.872999999999999</v>
      </c>
      <c r="F255" s="14">
        <f>'Fiscal Forecasts'!F$54-SUM(F$253:F$254)</f>
        <v>12.216000000000001</v>
      </c>
      <c r="G255" s="15">
        <f>'Fiscal Forecasts'!G$54-SUM(G$253:G$254) +IF($C$2="Yes",'Fiscal Forecast Adjuster'!C$21/1000,0)</f>
        <v>12.925999999999998</v>
      </c>
      <c r="H255" s="15">
        <f>'Fiscal Forecasts'!H$54-SUM(H$253:H$254) +IF($C$2="Yes",'Fiscal Forecast Adjuster'!D$21/1000,0)</f>
        <v>13.472000000000001</v>
      </c>
      <c r="I255" s="15">
        <f>'Fiscal Forecasts'!I$54-SUM(I$253:I$254) +IF($C$2="Yes",'Fiscal Forecast Adjuster'!E$21/1000,0)</f>
        <v>13.575000000000001</v>
      </c>
      <c r="J255" s="15">
        <f>'Fiscal Forecasts'!J$54-SUM(J$253:J$254) +IF($C$2="Yes",'Fiscal Forecast Adjuster'!F$21/1000,0)</f>
        <v>13.852</v>
      </c>
      <c r="K255" s="15">
        <f>'Fiscal Forecasts'!K$54-SUM(K$253:K$254) +IF($C$2="Yes",'Fiscal Forecast Adjuster'!G$21/1000,0)</f>
        <v>13.887</v>
      </c>
      <c r="L255" s="6">
        <f>K$255</f>
        <v>13.887</v>
      </c>
      <c r="M255" s="6">
        <f t="shared" ref="M255:U255" si="130">L$255</f>
        <v>13.887</v>
      </c>
      <c r="N255" s="6">
        <f t="shared" si="130"/>
        <v>13.887</v>
      </c>
      <c r="O255" s="6">
        <f t="shared" si="130"/>
        <v>13.887</v>
      </c>
      <c r="P255" s="6">
        <f t="shared" si="130"/>
        <v>13.887</v>
      </c>
      <c r="Q255" s="6">
        <f t="shared" si="130"/>
        <v>13.887</v>
      </c>
      <c r="R255" s="6">
        <f t="shared" si="130"/>
        <v>13.887</v>
      </c>
      <c r="S255" s="6">
        <f t="shared" si="130"/>
        <v>13.887</v>
      </c>
      <c r="T255" s="6">
        <f t="shared" si="130"/>
        <v>13.887</v>
      </c>
      <c r="U255" s="6">
        <f t="shared" si="130"/>
        <v>13.887</v>
      </c>
    </row>
    <row r="256" spans="1:21" ht="15" x14ac:dyDescent="0.25">
      <c r="A256" s="2" t="s">
        <v>503</v>
      </c>
      <c r="D256" s="34">
        <f t="shared" ref="D256:U256" si="131">SUM(D$253:D$255)</f>
        <v>12.879</v>
      </c>
      <c r="E256" s="34">
        <f t="shared" si="131"/>
        <v>13.157999999999999</v>
      </c>
      <c r="F256" s="34">
        <f t="shared" si="131"/>
        <v>13.281000000000001</v>
      </c>
      <c r="G256" s="33">
        <f t="shared" si="131"/>
        <v>13.936999999999998</v>
      </c>
      <c r="H256" s="33">
        <f t="shared" si="131"/>
        <v>14.663</v>
      </c>
      <c r="I256" s="33">
        <f t="shared" si="131"/>
        <v>14.791</v>
      </c>
      <c r="J256" s="33">
        <f t="shared" si="131"/>
        <v>15.109</v>
      </c>
      <c r="K256" s="33">
        <f t="shared" si="131"/>
        <v>15.179</v>
      </c>
      <c r="L256" s="37">
        <f t="shared" ca="1" si="131"/>
        <v>15.234673512202312</v>
      </c>
      <c r="M256" s="37">
        <f t="shared" ca="1" si="131"/>
        <v>15.276789151490348</v>
      </c>
      <c r="N256" s="37">
        <f t="shared" ca="1" si="131"/>
        <v>15.3185538687268</v>
      </c>
      <c r="O256" s="37">
        <f t="shared" ca="1" si="131"/>
        <v>15.360609458549805</v>
      </c>
      <c r="P256" s="37">
        <f t="shared" ca="1" si="131"/>
        <v>15.404948772354187</v>
      </c>
      <c r="Q256" s="37">
        <f t="shared" ca="1" si="131"/>
        <v>15.451645706379288</v>
      </c>
      <c r="R256" s="37">
        <f t="shared" ca="1" si="131"/>
        <v>15.49750024082222</v>
      </c>
      <c r="S256" s="37">
        <f t="shared" ca="1" si="131"/>
        <v>15.542744401995908</v>
      </c>
      <c r="T256" s="37">
        <f t="shared" ca="1" si="131"/>
        <v>15.588412075103117</v>
      </c>
      <c r="U256" s="37">
        <f t="shared" ca="1" si="131"/>
        <v>15.633655651666484</v>
      </c>
    </row>
    <row r="257" spans="1:21" x14ac:dyDescent="0.2">
      <c r="A257" s="1" t="s">
        <v>272</v>
      </c>
      <c r="B257" s="4" t="str">
        <f>$B$37</f>
        <v>From Fiscal</v>
      </c>
      <c r="D257" s="14">
        <f>'Fiscal Forecasts'!D$194</f>
        <v>9.8529999999999998</v>
      </c>
      <c r="E257" s="14">
        <f>'Fiscal Forecasts'!E$194</f>
        <v>10.16</v>
      </c>
      <c r="F257" s="14">
        <f>'Fiscal Forecasts'!F$194</f>
        <v>10.432</v>
      </c>
      <c r="G257" s="15">
        <f>'Fiscal Forecasts'!G$194</f>
        <v>10.97</v>
      </c>
      <c r="H257" s="15">
        <f>'Fiscal Forecasts'!H$194</f>
        <v>11.371</v>
      </c>
      <c r="I257" s="15">
        <f>'Fiscal Forecasts'!I$194</f>
        <v>11.407</v>
      </c>
      <c r="J257" s="15">
        <f>'Fiscal Forecasts'!J$194</f>
        <v>11.6</v>
      </c>
      <c r="K257" s="15">
        <f>'Fiscal Forecasts'!K$194</f>
        <v>11.544</v>
      </c>
      <c r="L257" s="6">
        <f ca="1">IF(L$6=OFFSET(Assumptions!$B$8,0,$C$1),AVERAGE(I$257/I$255,J$257/J$255,K$257/K$255),K$257/K$255)*L$255</f>
        <v>11.614160593551723</v>
      </c>
      <c r="M257" s="6">
        <f ca="1">IF(M$6=OFFSET(Assumptions!$B$8,0,$C$1),AVERAGE(J$257/J$255,K$257/K$255,L$257/L$255),L$257/L$255)*M$255</f>
        <v>11.614160593551723</v>
      </c>
      <c r="N257" s="6">
        <f ca="1">IF(N$6=OFFSET(Assumptions!$B$8,0,$C$1),AVERAGE(K$257/K$255,L$257/L$255,M$257/M$255),M$257/M$255)*N$255</f>
        <v>11.614160593551723</v>
      </c>
      <c r="O257" s="6">
        <f ca="1">IF(O$6=OFFSET(Assumptions!$B$8,0,$C$1),AVERAGE(L$257/L$255,M$257/M$255,N$257/N$255),N$257/N$255)*O$255</f>
        <v>11.614160593551723</v>
      </c>
      <c r="P257" s="6">
        <f ca="1">IF(P$6=OFFSET(Assumptions!$B$8,0,$C$1),AVERAGE(M$257/M$255,N$257/N$255,O$257/O$255),O$257/O$255)*P$255</f>
        <v>11.614160593551723</v>
      </c>
      <c r="Q257" s="6">
        <f ca="1">IF(Q$6=OFFSET(Assumptions!$B$8,0,$C$1),AVERAGE(N$257/N$255,O$257/O$255,P$257/P$255),P$257/P$255)*Q$255</f>
        <v>11.614160593551723</v>
      </c>
      <c r="R257" s="6">
        <f ca="1">IF(R$6=OFFSET(Assumptions!$B$8,0,$C$1),AVERAGE(O$257/O$255,P$257/P$255,Q$257/Q$255),Q$257/Q$255)*R$255</f>
        <v>11.614160593551723</v>
      </c>
      <c r="S257" s="6">
        <f ca="1">IF(S$6=OFFSET(Assumptions!$B$8,0,$C$1),AVERAGE(P$257/P$255,Q$257/Q$255,R$257/R$255),R$257/R$255)*S$255</f>
        <v>11.614160593551723</v>
      </c>
      <c r="T257" s="6">
        <f ca="1">IF(T$6=OFFSET(Assumptions!$B$8,0,$C$1),AVERAGE(Q$257/Q$255,R$257/R$255,S$257/S$255),S$257/S$255)*T$255</f>
        <v>11.614160593551723</v>
      </c>
      <c r="U257" s="6">
        <f ca="1">IF(U$6=OFFSET(Assumptions!$B$8,0,$C$1),AVERAGE(R$257/R$255,S$257/S$255,T$257/T$255),T$257/T$255)*U$255</f>
        <v>11.614160593551723</v>
      </c>
    </row>
    <row r="258" spans="1:21" x14ac:dyDescent="0.2">
      <c r="A258" s="1" t="s">
        <v>484</v>
      </c>
      <c r="B258" s="4" t="str">
        <f>$B$37</f>
        <v>From Fiscal</v>
      </c>
      <c r="D258" s="14">
        <f>'Fiscal Forecasts'!D$37-SUM(D$256:D$257)</f>
        <v>-9.1949999999999985</v>
      </c>
      <c r="E258" s="14">
        <f>'Fiscal Forecasts'!E$37-SUM(E$256:E$257)</f>
        <v>-9.5089999999999986</v>
      </c>
      <c r="F258" s="14">
        <f>'Fiscal Forecasts'!F$37-SUM(F$256:F$257)</f>
        <v>-9.6010000000000009</v>
      </c>
      <c r="G258" s="15">
        <f>'Fiscal Forecasts'!G$37-SUM(G$256:G$257) +IF($C$2="Yes",'Fiscal Forecast Adjuster'!C$21/1000,0)</f>
        <v>-10.160999999999996</v>
      </c>
      <c r="H258" s="15">
        <f>'Fiscal Forecasts'!H$37-SUM(H$256:H$257) +IF($C$2="Yes",'Fiscal Forecast Adjuster'!D$21/1000,0)</f>
        <v>-10.524999999999999</v>
      </c>
      <c r="I258" s="15">
        <f>'Fiscal Forecasts'!I$37-SUM(I$256:I$257) +IF($C$2="Yes",'Fiscal Forecast Adjuster'!E$21/1000,0)</f>
        <v>-10.562000000000001</v>
      </c>
      <c r="J258" s="15">
        <f>'Fiscal Forecasts'!J$37-SUM(J$256:J$257) +IF($C$2="Yes",'Fiscal Forecast Adjuster'!F$21/1000,0)</f>
        <v>-10.754999999999999</v>
      </c>
      <c r="K258" s="15">
        <f>'Fiscal Forecasts'!K$37-SUM(K$256:K$257) +IF($C$2="Yes",'Fiscal Forecast Adjuster'!G$21/1000,0)</f>
        <v>-10.693999999999999</v>
      </c>
      <c r="L258" s="6">
        <f ca="1">IF(L$6=OFFSET(Assumptions!$B$8,0,$C$1),AVERAGE(I$258/I$255,J$258/J$255,K$258/K$255),K$258/K$255)*L$255</f>
        <v>-10.760308571810707</v>
      </c>
      <c r="M258" s="6">
        <f ca="1">IF(M$6=OFFSET(Assumptions!$B$8,0,$C$1),AVERAGE(J$258/J$255,K$258/K$255,L$258/L$255),L$258/L$255)*M$255</f>
        <v>-10.760308571810707</v>
      </c>
      <c r="N258" s="6">
        <f ca="1">IF(N$6=OFFSET(Assumptions!$B$8,0,$C$1),AVERAGE(K$258/K$255,L$258/L$255,M$258/M$255),M$258/M$255)*N$255</f>
        <v>-10.760308571810707</v>
      </c>
      <c r="O258" s="6">
        <f ca="1">IF(O$6=OFFSET(Assumptions!$B$8,0,$C$1),AVERAGE(L$258/L$255,M$258/M$255,N$258/N$255),N$258/N$255)*O$255</f>
        <v>-10.760308571810707</v>
      </c>
      <c r="P258" s="6">
        <f ca="1">IF(P$6=OFFSET(Assumptions!$B$8,0,$C$1),AVERAGE(M$258/M$255,N$258/N$255,O$258/O$255),O$258/O$255)*P$255</f>
        <v>-10.760308571810707</v>
      </c>
      <c r="Q258" s="6">
        <f ca="1">IF(Q$6=OFFSET(Assumptions!$B$8,0,$C$1),AVERAGE(N$258/N$255,O$258/O$255,P$258/P$255),P$258/P$255)*Q$255</f>
        <v>-10.760308571810707</v>
      </c>
      <c r="R258" s="6">
        <f ca="1">IF(R$6=OFFSET(Assumptions!$B$8,0,$C$1),AVERAGE(O$258/O$255,P$258/P$255,Q$258/Q$255),Q$258/Q$255)*R$255</f>
        <v>-10.760308571810707</v>
      </c>
      <c r="S258" s="6">
        <f ca="1">IF(S$6=OFFSET(Assumptions!$B$8,0,$C$1),AVERAGE(P$258/P$255,Q$258/Q$255,R$258/R$255),R$258/R$255)*S$255</f>
        <v>-10.760308571810707</v>
      </c>
      <c r="T258" s="6">
        <f ca="1">IF(T$6=OFFSET(Assumptions!$B$8,0,$C$1),AVERAGE(Q$258/Q$255,R$258/R$255,S$258/S$255),S$258/S$255)*T$255</f>
        <v>-10.760308571810707</v>
      </c>
      <c r="U258" s="6">
        <f ca="1">IF(U$6=OFFSET(Assumptions!$B$8,0,$C$1),AVERAGE(R$258/R$255,S$258/S$255,T$258/T$255),T$258/T$255)*U$255</f>
        <v>-10.760308571810707</v>
      </c>
    </row>
    <row r="259" spans="1:21" ht="15" x14ac:dyDescent="0.25">
      <c r="A259" s="2" t="s">
        <v>504</v>
      </c>
      <c r="D259" s="34">
        <f t="shared" ref="D259:U259" si="132">SUM(D$256:D$258)</f>
        <v>13.537000000000001</v>
      </c>
      <c r="E259" s="34">
        <f t="shared" si="132"/>
        <v>13.808999999999999</v>
      </c>
      <c r="F259" s="34">
        <f t="shared" si="132"/>
        <v>14.112</v>
      </c>
      <c r="G259" s="33">
        <f t="shared" si="132"/>
        <v>14.746</v>
      </c>
      <c r="H259" s="33">
        <f t="shared" si="132"/>
        <v>15.509</v>
      </c>
      <c r="I259" s="33">
        <f t="shared" si="132"/>
        <v>15.635999999999999</v>
      </c>
      <c r="J259" s="33">
        <f t="shared" si="132"/>
        <v>15.954000000000001</v>
      </c>
      <c r="K259" s="33">
        <f t="shared" si="132"/>
        <v>16.029</v>
      </c>
      <c r="L259" s="37">
        <f t="shared" ca="1" si="132"/>
        <v>16.088525533943329</v>
      </c>
      <c r="M259" s="37">
        <f t="shared" ca="1" si="132"/>
        <v>16.130641173231364</v>
      </c>
      <c r="N259" s="37">
        <f t="shared" ca="1" si="132"/>
        <v>16.172405890467818</v>
      </c>
      <c r="O259" s="37">
        <f t="shared" ca="1" si="132"/>
        <v>16.214461480290819</v>
      </c>
      <c r="P259" s="37">
        <f t="shared" ca="1" si="132"/>
        <v>16.258800794095205</v>
      </c>
      <c r="Q259" s="37">
        <f t="shared" ca="1" si="132"/>
        <v>16.305497728120304</v>
      </c>
      <c r="R259" s="37">
        <f t="shared" ca="1" si="132"/>
        <v>16.351352262563235</v>
      </c>
      <c r="S259" s="37">
        <f t="shared" ca="1" si="132"/>
        <v>16.396596423736923</v>
      </c>
      <c r="T259" s="37">
        <f t="shared" ca="1" si="132"/>
        <v>16.442264096844131</v>
      </c>
      <c r="U259" s="37">
        <f t="shared" ca="1" si="132"/>
        <v>16.487507673407499</v>
      </c>
    </row>
    <row r="260" spans="1:21" ht="15" x14ac:dyDescent="0.25">
      <c r="A260" s="2"/>
      <c r="D260" s="46"/>
      <c r="E260" s="46"/>
      <c r="F260" s="46"/>
      <c r="G260" s="47"/>
      <c r="H260" s="47"/>
      <c r="I260" s="47"/>
      <c r="J260" s="47"/>
      <c r="K260" s="47"/>
      <c r="L260" s="48"/>
      <c r="M260" s="48"/>
      <c r="N260" s="48"/>
      <c r="O260" s="48"/>
      <c r="P260" s="48"/>
      <c r="Q260" s="48"/>
      <c r="R260" s="48"/>
      <c r="S260" s="48"/>
      <c r="T260" s="48"/>
      <c r="U260" s="48"/>
    </row>
    <row r="261" spans="1:21" x14ac:dyDescent="0.2">
      <c r="A261" s="18" t="s">
        <v>505</v>
      </c>
    </row>
    <row r="262" spans="1:21" x14ac:dyDescent="0.2">
      <c r="A262" s="1" t="s">
        <v>1210</v>
      </c>
      <c r="D262" s="14">
        <f>D$368</f>
        <v>0.19800000000000001</v>
      </c>
      <c r="E262" s="14">
        <f t="shared" ref="E262:U262" si="133">E$368</f>
        <v>0.13800000000000001</v>
      </c>
      <c r="F262" s="14">
        <f t="shared" si="133"/>
        <v>0.22700000000000001</v>
      </c>
      <c r="G262" s="15">
        <f t="shared" si="133"/>
        <v>0.24199999999999999</v>
      </c>
      <c r="H262" s="15">
        <f t="shared" si="133"/>
        <v>0.20499999999999999</v>
      </c>
      <c r="I262" s="15">
        <f t="shared" si="133"/>
        <v>0.218</v>
      </c>
      <c r="J262" s="15">
        <f t="shared" si="133"/>
        <v>0.23200000000000001</v>
      </c>
      <c r="K262" s="15">
        <f t="shared" si="133"/>
        <v>0.247</v>
      </c>
      <c r="L262" s="6">
        <f t="shared" ca="1" si="133"/>
        <v>0.23138812936585162</v>
      </c>
      <c r="M262" s="6">
        <f t="shared" ca="1" si="133"/>
        <v>0.26112407725065923</v>
      </c>
      <c r="N262" s="6">
        <f t="shared" ca="1" si="133"/>
        <v>0.29324829735082847</v>
      </c>
      <c r="O262" s="6">
        <f t="shared" ca="1" si="133"/>
        <v>0.32773391993548862</v>
      </c>
      <c r="P262" s="6">
        <f t="shared" ca="1" si="133"/>
        <v>0.36459630408981225</v>
      </c>
      <c r="Q262" s="6">
        <f t="shared" ca="1" si="133"/>
        <v>0.39422324417536198</v>
      </c>
      <c r="R262" s="6">
        <f t="shared" ca="1" si="133"/>
        <v>0.42393488467854329</v>
      </c>
      <c r="S262" s="6">
        <f t="shared" ca="1" si="133"/>
        <v>0.45430663105444047</v>
      </c>
      <c r="T262" s="6">
        <f t="shared" ca="1" si="133"/>
        <v>0.48548345796245113</v>
      </c>
      <c r="U262" s="6">
        <f t="shared" ca="1" si="133"/>
        <v>0.51751012845200928</v>
      </c>
    </row>
    <row r="263" spans="1:21" x14ac:dyDescent="0.2">
      <c r="A263" s="1" t="s">
        <v>296</v>
      </c>
      <c r="B263" s="4"/>
      <c r="D263" s="14">
        <f t="shared" ref="D263:U263" si="134">D$181</f>
        <v>0.51300000000000001</v>
      </c>
      <c r="E263" s="14">
        <f t="shared" si="134"/>
        <v>0.53400000000000003</v>
      </c>
      <c r="F263" s="14">
        <f t="shared" si="134"/>
        <v>0.52</v>
      </c>
      <c r="G263" s="15">
        <f t="shared" si="134"/>
        <v>0.64700000000000002</v>
      </c>
      <c r="H263" s="15">
        <f t="shared" si="134"/>
        <v>0.69299999999999995</v>
      </c>
      <c r="I263" s="15">
        <f t="shared" si="134"/>
        <v>0.73</v>
      </c>
      <c r="J263" s="15">
        <f t="shared" si="134"/>
        <v>0.76400000000000001</v>
      </c>
      <c r="K263" s="15">
        <f t="shared" si="134"/>
        <v>0.79800000000000004</v>
      </c>
      <c r="L263" s="6">
        <f t="shared" ca="1" si="134"/>
        <v>0.73239262588353926</v>
      </c>
      <c r="M263" s="6">
        <f t="shared" ca="1" si="134"/>
        <v>0.76578675141379471</v>
      </c>
      <c r="N263" s="6">
        <f t="shared" ca="1" si="134"/>
        <v>0.79990891436539968</v>
      </c>
      <c r="O263" s="6">
        <f t="shared" ca="1" si="134"/>
        <v>0.8349048070082582</v>
      </c>
      <c r="P263" s="6">
        <f t="shared" ca="1" si="134"/>
        <v>0.87108909066176188</v>
      </c>
      <c r="Q263" s="6">
        <f t="shared" ca="1" si="134"/>
        <v>0.90851940800276665</v>
      </c>
      <c r="R263" s="6">
        <f t="shared" ca="1" si="134"/>
        <v>0.94713135391911396</v>
      </c>
      <c r="S263" s="6">
        <f t="shared" ca="1" si="134"/>
        <v>0.98703992574919575</v>
      </c>
      <c r="T263" s="6">
        <f t="shared" ca="1" si="134"/>
        <v>1.0282814394581155</v>
      </c>
      <c r="U263" s="6">
        <f t="shared" ca="1" si="134"/>
        <v>1.0709805657224649</v>
      </c>
    </row>
    <row r="264" spans="1:21" x14ac:dyDescent="0.2">
      <c r="A264" s="1" t="s">
        <v>512</v>
      </c>
      <c r="B264" s="4" t="s">
        <v>513</v>
      </c>
      <c r="D264" s="14">
        <f>Exogenous!K$38</f>
        <v>0.873</v>
      </c>
      <c r="E264" s="14">
        <f>Exogenous!L$38</f>
        <v>0.68</v>
      </c>
      <c r="F264" s="14">
        <f>Exogenous!M$38</f>
        <v>0.49299999999999999</v>
      </c>
      <c r="G264" s="15">
        <f>Exogenous!N$38</f>
        <v>0.64</v>
      </c>
      <c r="H264" s="15">
        <f>Exogenous!O$38</f>
        <v>0.68</v>
      </c>
      <c r="I264" s="15">
        <f>Exogenous!P$38</f>
        <v>0.68</v>
      </c>
      <c r="J264" s="15">
        <f>Exogenous!Q$38</f>
        <v>0.68</v>
      </c>
      <c r="K264" s="15">
        <f>Exogenous!R$38</f>
        <v>0.68</v>
      </c>
      <c r="L264" s="6">
        <f t="shared" ref="L264:U264" ca="1" si="135">K$264*L$132/K$132</f>
        <v>0.70932089021863398</v>
      </c>
      <c r="M264" s="6">
        <f t="shared" ca="1" si="135"/>
        <v>0.74414754106359793</v>
      </c>
      <c r="N264" s="6">
        <f t="shared" ca="1" si="135"/>
        <v>0.77730549738672527</v>
      </c>
      <c r="O264" s="6">
        <f t="shared" ca="1" si="135"/>
        <v>0.81131249399437089</v>
      </c>
      <c r="P264" s="6">
        <f t="shared" ca="1" si="135"/>
        <v>0.84647430066730034</v>
      </c>
      <c r="Q264" s="6">
        <f t="shared" ca="1" si="135"/>
        <v>0.88284693124508906</v>
      </c>
      <c r="R264" s="6">
        <f t="shared" ca="1" si="135"/>
        <v>0.92036780054229705</v>
      </c>
      <c r="S264" s="6">
        <f t="shared" ca="1" si="135"/>
        <v>0.95914865636134483</v>
      </c>
      <c r="T264" s="6">
        <f t="shared" ca="1" si="135"/>
        <v>0.99922478846936802</v>
      </c>
      <c r="U264" s="6">
        <f t="shared" ca="1" si="135"/>
        <v>1.040717344662744</v>
      </c>
    </row>
    <row r="265" spans="1:21" x14ac:dyDescent="0.2">
      <c r="A265" s="1" t="s">
        <v>516</v>
      </c>
      <c r="B265" s="4" t="str">
        <f>$B$37</f>
        <v>From Fiscal</v>
      </c>
      <c r="D265" s="14">
        <f>'Fiscal Forecasts'!D$55-SUM(D$262:D$264)</f>
        <v>2.5500000000000003</v>
      </c>
      <c r="E265" s="14">
        <f>'Fiscal Forecasts'!E$55-SUM(E$262:E$264)</f>
        <v>2.75</v>
      </c>
      <c r="F265" s="14">
        <f>'Fiscal Forecasts'!F$55-SUM(F$262:F$264)</f>
        <v>2.7169999999999996</v>
      </c>
      <c r="G265" s="15">
        <f>'Fiscal Forecasts'!G$55-SUM(G$262:G$264)</f>
        <v>3.5570000000000004</v>
      </c>
      <c r="H265" s="15">
        <f>'Fiscal Forecasts'!H$55-SUM(H$262:H$264)</f>
        <v>3.4680000000000004</v>
      </c>
      <c r="I265" s="15">
        <f>'Fiscal Forecasts'!I$55-SUM(I$262:I$264)</f>
        <v>3.1070000000000002</v>
      </c>
      <c r="J265" s="15">
        <f>'Fiscal Forecasts'!J$55-SUM(J$262:J$264)</f>
        <v>3.1550000000000002</v>
      </c>
      <c r="K265" s="15">
        <f>'Fiscal Forecasts'!K$55-SUM(K$262:K$264)</f>
        <v>2.9410000000000003</v>
      </c>
      <c r="L265" s="6">
        <f>K$265</f>
        <v>2.9410000000000003</v>
      </c>
      <c r="M265" s="6">
        <f t="shared" ref="M265:U265" si="136">L$265</f>
        <v>2.9410000000000003</v>
      </c>
      <c r="N265" s="6">
        <f t="shared" si="136"/>
        <v>2.9410000000000003</v>
      </c>
      <c r="O265" s="6">
        <f t="shared" si="136"/>
        <v>2.9410000000000003</v>
      </c>
      <c r="P265" s="6">
        <f t="shared" si="136"/>
        <v>2.9410000000000003</v>
      </c>
      <c r="Q265" s="6">
        <f t="shared" si="136"/>
        <v>2.9410000000000003</v>
      </c>
      <c r="R265" s="6">
        <f t="shared" si="136"/>
        <v>2.9410000000000003</v>
      </c>
      <c r="S265" s="6">
        <f t="shared" si="136"/>
        <v>2.9410000000000003</v>
      </c>
      <c r="T265" s="6">
        <f t="shared" si="136"/>
        <v>2.9410000000000003</v>
      </c>
      <c r="U265" s="6">
        <f t="shared" si="136"/>
        <v>2.9410000000000003</v>
      </c>
    </row>
    <row r="266" spans="1:21" ht="15" x14ac:dyDescent="0.25">
      <c r="A266" s="2" t="s">
        <v>517</v>
      </c>
      <c r="D266" s="34">
        <f>SUM(D$262:D$265)</f>
        <v>4.1340000000000003</v>
      </c>
      <c r="E266" s="34">
        <f>SUM(E$262:E$265)</f>
        <v>4.1020000000000003</v>
      </c>
      <c r="F266" s="34">
        <f>SUM(F$262:F$265)</f>
        <v>3.9569999999999999</v>
      </c>
      <c r="G266" s="33">
        <f t="shared" ref="G266:U266" si="137">SUM(G$262:G$265)</f>
        <v>5.0860000000000003</v>
      </c>
      <c r="H266" s="33">
        <f t="shared" si="137"/>
        <v>5.0460000000000003</v>
      </c>
      <c r="I266" s="33">
        <f t="shared" si="137"/>
        <v>4.7350000000000003</v>
      </c>
      <c r="J266" s="33">
        <f t="shared" si="137"/>
        <v>4.8310000000000004</v>
      </c>
      <c r="K266" s="33">
        <f t="shared" si="137"/>
        <v>4.6660000000000004</v>
      </c>
      <c r="L266" s="37">
        <f t="shared" ca="1" si="137"/>
        <v>4.6141016454680255</v>
      </c>
      <c r="M266" s="37">
        <f t="shared" ca="1" si="137"/>
        <v>4.7120583697280516</v>
      </c>
      <c r="N266" s="37">
        <f t="shared" ca="1" si="137"/>
        <v>4.8114627091029538</v>
      </c>
      <c r="O266" s="37">
        <f t="shared" ca="1" si="137"/>
        <v>4.9149512209381179</v>
      </c>
      <c r="P266" s="37">
        <f t="shared" ca="1" si="137"/>
        <v>5.0231596954188742</v>
      </c>
      <c r="Q266" s="37">
        <f t="shared" ca="1" si="137"/>
        <v>5.1265895834232182</v>
      </c>
      <c r="R266" s="37">
        <f t="shared" ca="1" si="137"/>
        <v>5.2324340391399549</v>
      </c>
      <c r="S266" s="37">
        <f t="shared" ca="1" si="137"/>
        <v>5.3414952131649809</v>
      </c>
      <c r="T266" s="37">
        <f t="shared" ca="1" si="137"/>
        <v>5.453989685889935</v>
      </c>
      <c r="U266" s="37">
        <f t="shared" ca="1" si="137"/>
        <v>5.5702080388372188</v>
      </c>
    </row>
    <row r="267" spans="1:21" ht="15" x14ac:dyDescent="0.25">
      <c r="A267" s="2" t="s">
        <v>518</v>
      </c>
      <c r="B267" s="4" t="str">
        <f>$B$37</f>
        <v>From Fiscal</v>
      </c>
      <c r="D267" s="39">
        <f>'Fiscal Forecasts'!D$38</f>
        <v>3.8980000000000001</v>
      </c>
      <c r="E267" s="39">
        <f>'Fiscal Forecasts'!E$38</f>
        <v>3.95</v>
      </c>
      <c r="F267" s="39">
        <f>'Fiscal Forecasts'!F$38</f>
        <v>3.762</v>
      </c>
      <c r="G267" s="38">
        <f>'Fiscal Forecasts'!G$38</f>
        <v>4.9349999999999996</v>
      </c>
      <c r="H267" s="38">
        <f>'Fiscal Forecasts'!H$38</f>
        <v>4.7549999999999999</v>
      </c>
      <c r="I267" s="38">
        <f>'Fiscal Forecasts'!I$38</f>
        <v>4.5650000000000004</v>
      </c>
      <c r="J267" s="38">
        <f>'Fiscal Forecasts'!J$38</f>
        <v>4.6479999999999997</v>
      </c>
      <c r="K267" s="38">
        <f>'Fiscal Forecasts'!K$38</f>
        <v>4.3959999999999999</v>
      </c>
      <c r="L267" s="7">
        <f ca="1">L$266+IF(L$6=OFFSET(Assumptions!$B$8,0,$C$1),AVERAGE((I$267-I$266)/I$265,(J$267-J$266)/J$265,(K$267-K$266)/K$265),(K$267-K$266)/K$265)*L$265</f>
        <v>4.4136001103797469</v>
      </c>
      <c r="M267" s="7">
        <f ca="1">M$266+IF(M$6=OFFSET(Assumptions!$B$8,0,$C$1),AVERAGE((J$267-J$266)/J$265,(K$267-K$266)/K$265,(L$267-L$266)/L$265),(L$267-L$266)/L$265)*M$265</f>
        <v>4.511556834639773</v>
      </c>
      <c r="N267" s="7">
        <f ca="1">N$266+IF(N$6=OFFSET(Assumptions!$B$8,0,$C$1),AVERAGE((K$267-K$266)/K$265,(L$267-L$266)/L$265,(M$267-M$266)/M$265),(M$267-M$266)/M$265)*N$265</f>
        <v>4.6109611740146752</v>
      </c>
      <c r="O267" s="7">
        <f ca="1">O$266+IF(O$6=OFFSET(Assumptions!$B$8,0,$C$1),AVERAGE((L$267-L$266)/L$265,(M$267-M$266)/M$265,(N$267-N$266)/N$265),(N$267-N$266)/N$265)*O$265</f>
        <v>4.7144496858498393</v>
      </c>
      <c r="P267" s="7">
        <f ca="1">P$266+IF(P$6=OFFSET(Assumptions!$B$8,0,$C$1),AVERAGE((M$267-M$266)/M$265,(N$267-N$266)/N$265,(O$267-O$266)/O$265),(O$267-O$266)/O$265)*P$265</f>
        <v>4.8226581603305956</v>
      </c>
      <c r="Q267" s="7">
        <f ca="1">Q$266+IF(Q$6=OFFSET(Assumptions!$B$8,0,$C$1),AVERAGE((N$267-N$266)/N$265,(O$267-O$266)/O$265,(P$267-P$266)/P$265),(P$267-P$266)/P$265)*Q$265</f>
        <v>4.9260880483349396</v>
      </c>
      <c r="R267" s="7">
        <f ca="1">R$266+IF(R$6=OFFSET(Assumptions!$B$8,0,$C$1),AVERAGE((O$267-O$266)/O$265,(P$267-P$266)/P$265,(Q$267-Q$266)/Q$265),(Q$267-Q$266)/Q$265)*R$265</f>
        <v>5.0319325040516762</v>
      </c>
      <c r="S267" s="7">
        <f ca="1">S$266+IF(S$6=OFFSET(Assumptions!$B$8,0,$C$1),AVERAGE((P$267-P$266)/P$265,(Q$267-Q$266)/Q$265,(R$267-R$266)/R$265),(R$267-R$266)/R$265)*S$265</f>
        <v>5.1409936780767023</v>
      </c>
      <c r="T267" s="7">
        <f ca="1">T$266+IF(T$6=OFFSET(Assumptions!$B$8,0,$C$1),AVERAGE((Q$267-Q$266)/Q$265,(R$267-R$266)/R$265,(S$267-S$266)/S$265),(S$267-S$266)/S$265)*T$265</f>
        <v>5.2534881508016564</v>
      </c>
      <c r="U267" s="7">
        <f ca="1">U$266+IF(U$6=OFFSET(Assumptions!$B$8,0,$C$1),AVERAGE((R$267-R$266)/R$265,(S$267-S$266)/S$265,(T$267-T$266)/T$265),(T$267-T$266)/T$265)*U$265</f>
        <v>5.3697065037489402</v>
      </c>
    </row>
    <row r="268" spans="1:21" ht="15" x14ac:dyDescent="0.25">
      <c r="A268" s="2"/>
      <c r="B268" s="4"/>
      <c r="D268" s="39"/>
      <c r="E268" s="39"/>
      <c r="F268" s="39"/>
      <c r="G268" s="38"/>
      <c r="H268" s="38"/>
      <c r="I268" s="38"/>
      <c r="J268" s="38"/>
      <c r="K268" s="38"/>
      <c r="L268" s="38"/>
      <c r="M268" s="7"/>
      <c r="N268" s="7"/>
      <c r="O268" s="7"/>
      <c r="P268" s="7"/>
      <c r="Q268" s="7"/>
      <c r="R268" s="7"/>
      <c r="S268" s="7"/>
      <c r="T268" s="7"/>
      <c r="U268" s="7"/>
    </row>
    <row r="269" spans="1:21" ht="15" x14ac:dyDescent="0.25">
      <c r="A269" s="18" t="s">
        <v>575</v>
      </c>
      <c r="B269" s="4"/>
      <c r="C269" s="7"/>
      <c r="D269" s="7"/>
      <c r="E269" s="7"/>
      <c r="F269" s="7"/>
      <c r="G269" s="7"/>
      <c r="H269" s="7"/>
      <c r="I269" s="7"/>
      <c r="J269" s="7"/>
      <c r="K269" s="7"/>
      <c r="L269" s="7"/>
      <c r="M269" s="7"/>
      <c r="N269" s="7"/>
      <c r="O269" s="7"/>
      <c r="P269" s="7"/>
      <c r="Q269" s="7"/>
      <c r="R269" s="7"/>
      <c r="S269" s="7"/>
      <c r="T269" s="7"/>
      <c r="U269" s="7"/>
    </row>
    <row r="270" spans="1:21" ht="15" x14ac:dyDescent="0.25">
      <c r="A270" s="2" t="s">
        <v>519</v>
      </c>
      <c r="B270" s="4" t="str">
        <f t="shared" ref="B270:B275" si="138">$B$37</f>
        <v>From Fiscal</v>
      </c>
      <c r="D270" s="39">
        <f>'Fiscal Forecasts'!D$56</f>
        <v>3.5150000000000001</v>
      </c>
      <c r="E270" s="39">
        <f>'Fiscal Forecasts'!E$56</f>
        <v>3.6480000000000001</v>
      </c>
      <c r="F270" s="39">
        <f>'Fiscal Forecasts'!F$56</f>
        <v>3.8820000000000001</v>
      </c>
      <c r="G270" s="38">
        <f>'Fiscal Forecasts'!G$56</f>
        <v>4.2759999999999998</v>
      </c>
      <c r="H270" s="38">
        <f>'Fiscal Forecasts'!H$56</f>
        <v>4.4189999999999996</v>
      </c>
      <c r="I270" s="38">
        <f>'Fiscal Forecasts'!I$56</f>
        <v>4.4530000000000003</v>
      </c>
      <c r="J270" s="38">
        <f>'Fiscal Forecasts'!J$56</f>
        <v>4.516</v>
      </c>
      <c r="K270" s="38">
        <f>'Fiscal Forecasts'!K$56</f>
        <v>4.569</v>
      </c>
      <c r="L270" s="7">
        <f>K$270</f>
        <v>4.569</v>
      </c>
      <c r="M270" s="7">
        <f t="shared" ref="M270:U270" si="139">L$270</f>
        <v>4.569</v>
      </c>
      <c r="N270" s="7">
        <f t="shared" si="139"/>
        <v>4.569</v>
      </c>
      <c r="O270" s="7">
        <f t="shared" si="139"/>
        <v>4.569</v>
      </c>
      <c r="P270" s="7">
        <f t="shared" si="139"/>
        <v>4.569</v>
      </c>
      <c r="Q270" s="7">
        <f t="shared" si="139"/>
        <v>4.569</v>
      </c>
      <c r="R270" s="7">
        <f t="shared" si="139"/>
        <v>4.569</v>
      </c>
      <c r="S270" s="7">
        <f t="shared" si="139"/>
        <v>4.569</v>
      </c>
      <c r="T270" s="7">
        <f t="shared" si="139"/>
        <v>4.569</v>
      </c>
      <c r="U270" s="7">
        <f t="shared" si="139"/>
        <v>4.569</v>
      </c>
    </row>
    <row r="271" spans="1:21" ht="15" x14ac:dyDescent="0.25">
      <c r="A271" s="2" t="s">
        <v>520</v>
      </c>
      <c r="B271" s="4" t="str">
        <f t="shared" si="138"/>
        <v>From Fiscal</v>
      </c>
      <c r="D271" s="39">
        <f>'Fiscal Forecasts'!D$39</f>
        <v>3.73</v>
      </c>
      <c r="E271" s="39">
        <f>'Fiscal Forecasts'!E$39</f>
        <v>3.8940000000000001</v>
      </c>
      <c r="F271" s="39">
        <f>'Fiscal Forecasts'!F$39</f>
        <v>4.1609999999999996</v>
      </c>
      <c r="G271" s="38">
        <f>'Fiscal Forecasts'!G$39</f>
        <v>4.6020000000000003</v>
      </c>
      <c r="H271" s="38">
        <f>'Fiscal Forecasts'!H$39</f>
        <v>4.8159999999999998</v>
      </c>
      <c r="I271" s="38">
        <f>'Fiscal Forecasts'!I$39</f>
        <v>4.8730000000000002</v>
      </c>
      <c r="J271" s="38">
        <f>'Fiscal Forecasts'!J$39</f>
        <v>4.9489999999999998</v>
      </c>
      <c r="K271" s="38">
        <f>'Fiscal Forecasts'!K$39</f>
        <v>5.0199999999999996</v>
      </c>
      <c r="L271" s="7">
        <f ca="1">IF(L$6=OFFSET(Assumptions!$B$8,0,$C$1),AVERAGE(I$271/I$270,J$271/J$270,K$271/K$270),K$271/K$270)*L$270</f>
        <v>5.0090075493901427</v>
      </c>
      <c r="M271" s="7">
        <f ca="1">IF(M$6=OFFSET(Assumptions!$B$8,0,$C$1),AVERAGE(J$271/J$270,K$271/K$270,L$271/L$270),L$271/L$270)*M$270</f>
        <v>5.0090075493901427</v>
      </c>
      <c r="N271" s="7">
        <f ca="1">IF(N$6=OFFSET(Assumptions!$B$8,0,$C$1),AVERAGE(K$271/K$270,L$271/L$270,M$271/M$270),M$271/M$270)*N$270</f>
        <v>5.0090075493901427</v>
      </c>
      <c r="O271" s="7">
        <f ca="1">IF(O$6=OFFSET(Assumptions!$B$8,0,$C$1),AVERAGE(L$271/L$270,M$271/M$270,N$271/N$270),N$271/N$270)*O$270</f>
        <v>5.0090075493901427</v>
      </c>
      <c r="P271" s="7">
        <f ca="1">IF(P$6=OFFSET(Assumptions!$B$8,0,$C$1),AVERAGE(M$271/M$270,N$271/N$270,O$271/O$270),O$271/O$270)*P$270</f>
        <v>5.0090075493901427</v>
      </c>
      <c r="Q271" s="7">
        <f ca="1">IF(Q$6=OFFSET(Assumptions!$B$8,0,$C$1),AVERAGE(N$271/N$270,O$271/O$270,P$271/P$270),P$271/P$270)*Q$270</f>
        <v>5.0090075493901427</v>
      </c>
      <c r="R271" s="7">
        <f ca="1">IF(R$6=OFFSET(Assumptions!$B$8,0,$C$1),AVERAGE(O$271/O$270,P$271/P$270,Q$271/Q$270),Q$271/Q$270)*R$270</f>
        <v>5.0090075493901427</v>
      </c>
      <c r="S271" s="7">
        <f ca="1">IF(S$6=OFFSET(Assumptions!$B$8,0,$C$1),AVERAGE(P$271/P$270,Q$271/Q$270,R$271/R$270),R$271/R$270)*S$270</f>
        <v>5.0090075493901427</v>
      </c>
      <c r="T271" s="7">
        <f ca="1">IF(T$6=OFFSET(Assumptions!$B$8,0,$C$1),AVERAGE(Q$271/Q$270,R$271/R$270,S$271/S$270),S$271/S$270)*T$270</f>
        <v>5.0090075493901427</v>
      </c>
      <c r="U271" s="7">
        <f ca="1">IF(U$6=OFFSET(Assumptions!$B$8,0,$C$1),AVERAGE(R$271/R$270,S$271/S$270,T$271/T$270),T$271/T$270)*U$270</f>
        <v>5.0090075493901427</v>
      </c>
    </row>
    <row r="272" spans="1:21" ht="15" x14ac:dyDescent="0.25">
      <c r="A272" s="2"/>
      <c r="B272" s="4"/>
      <c r="D272" s="39"/>
      <c r="E272" s="39"/>
      <c r="F272" s="39"/>
      <c r="G272" s="38"/>
      <c r="H272" s="38"/>
      <c r="I272" s="38"/>
      <c r="J272" s="38"/>
      <c r="K272" s="38"/>
      <c r="L272" s="7"/>
      <c r="M272" s="7"/>
      <c r="N272" s="7"/>
      <c r="O272" s="7"/>
      <c r="P272" s="7"/>
      <c r="Q272" s="7"/>
      <c r="R272" s="7"/>
      <c r="S272" s="7"/>
      <c r="T272" s="7"/>
      <c r="U272" s="7"/>
    </row>
    <row r="273" spans="1:21" ht="15" x14ac:dyDescent="0.25">
      <c r="A273" s="18" t="s">
        <v>576</v>
      </c>
      <c r="B273" s="4"/>
      <c r="D273" s="39"/>
      <c r="E273" s="39"/>
      <c r="F273" s="39"/>
      <c r="G273" s="39"/>
      <c r="H273" s="39"/>
      <c r="I273" s="39"/>
      <c r="J273" s="39"/>
      <c r="K273" s="39"/>
      <c r="L273" s="7"/>
      <c r="M273" s="7"/>
      <c r="N273" s="7"/>
      <c r="O273" s="7"/>
      <c r="P273" s="7"/>
      <c r="Q273" s="7"/>
      <c r="R273" s="7"/>
      <c r="S273" s="7"/>
      <c r="T273" s="7"/>
      <c r="U273" s="7"/>
    </row>
    <row r="274" spans="1:21" ht="15" x14ac:dyDescent="0.25">
      <c r="A274" s="2" t="s">
        <v>521</v>
      </c>
      <c r="B274" s="4" t="str">
        <f t="shared" si="138"/>
        <v>From Fiscal</v>
      </c>
      <c r="D274" s="39">
        <f>'Fiscal Forecasts'!D$59</f>
        <v>1.9610000000000001</v>
      </c>
      <c r="E274" s="39">
        <f>'Fiscal Forecasts'!E$59</f>
        <v>2.0259999999999998</v>
      </c>
      <c r="F274" s="39">
        <f>'Fiscal Forecasts'!F$59</f>
        <v>2.1459999999999999</v>
      </c>
      <c r="G274" s="38">
        <f>'Fiscal Forecasts'!G$59</f>
        <v>2.2629999999999999</v>
      </c>
      <c r="H274" s="38">
        <f>'Fiscal Forecasts'!H$59</f>
        <v>2.3740000000000001</v>
      </c>
      <c r="I274" s="38">
        <f>'Fiscal Forecasts'!I$59</f>
        <v>2.4510000000000001</v>
      </c>
      <c r="J274" s="38">
        <f>'Fiscal Forecasts'!J$59</f>
        <v>2.4609999999999999</v>
      </c>
      <c r="K274" s="38">
        <f>'Fiscal Forecasts'!K$59</f>
        <v>2.4670000000000001</v>
      </c>
      <c r="L274" s="7">
        <f>K$274</f>
        <v>2.4670000000000001</v>
      </c>
      <c r="M274" s="7">
        <f t="shared" ref="M274:U274" si="140">L$274</f>
        <v>2.4670000000000001</v>
      </c>
      <c r="N274" s="7">
        <f t="shared" si="140"/>
        <v>2.4670000000000001</v>
      </c>
      <c r="O274" s="7">
        <f t="shared" si="140"/>
        <v>2.4670000000000001</v>
      </c>
      <c r="P274" s="7">
        <f t="shared" si="140"/>
        <v>2.4670000000000001</v>
      </c>
      <c r="Q274" s="7">
        <f t="shared" si="140"/>
        <v>2.4670000000000001</v>
      </c>
      <c r="R274" s="7">
        <f t="shared" si="140"/>
        <v>2.4670000000000001</v>
      </c>
      <c r="S274" s="7">
        <f t="shared" si="140"/>
        <v>2.4670000000000001</v>
      </c>
      <c r="T274" s="7">
        <f t="shared" si="140"/>
        <v>2.4670000000000001</v>
      </c>
      <c r="U274" s="7">
        <f t="shared" si="140"/>
        <v>2.4670000000000001</v>
      </c>
    </row>
    <row r="275" spans="1:21" ht="15" x14ac:dyDescent="0.25">
      <c r="A275" s="2" t="s">
        <v>522</v>
      </c>
      <c r="B275" s="4" t="str">
        <f t="shared" si="138"/>
        <v>From Fiscal</v>
      </c>
      <c r="D275" s="39">
        <f>'Fiscal Forecasts'!D$42</f>
        <v>1.917</v>
      </c>
      <c r="E275" s="39">
        <f>'Fiscal Forecasts'!E$42</f>
        <v>2.0129999999999999</v>
      </c>
      <c r="F275" s="39">
        <f>'Fiscal Forecasts'!F$42</f>
        <v>2.145</v>
      </c>
      <c r="G275" s="38">
        <f>'Fiscal Forecasts'!G$42</f>
        <v>2.2549999999999999</v>
      </c>
      <c r="H275" s="38">
        <f>'Fiscal Forecasts'!H$42</f>
        <v>2.3660000000000001</v>
      </c>
      <c r="I275" s="38">
        <f>'Fiscal Forecasts'!I$42</f>
        <v>2.4430000000000001</v>
      </c>
      <c r="J275" s="38">
        <f>'Fiscal Forecasts'!J$42</f>
        <v>2.4529999999999998</v>
      </c>
      <c r="K275" s="38">
        <f>'Fiscal Forecasts'!K$42</f>
        <v>2.4590000000000001</v>
      </c>
      <c r="L275" s="7">
        <f ca="1">IF(L$6=OFFSET(Assumptions!$B$8,0,$C$1),AVERAGE(I$275/I$274,J$275/J$274,K$275/K$274),K$275/K$274)*L$274</f>
        <v>2.4589760907170768</v>
      </c>
      <c r="M275" s="7">
        <f ca="1">IF(M$6=OFFSET(Assumptions!$B$8,0,$C$1),AVERAGE(J$275/J$274,K$275/K$274,L$275/L$274),L$275/L$274)*M$274</f>
        <v>2.4589760907170768</v>
      </c>
      <c r="N275" s="7">
        <f ca="1">IF(N$6=OFFSET(Assumptions!$B$8,0,$C$1),AVERAGE(K$275/K$274,L$275/L$274,M$275/M$274),M$275/M$274)*N$274</f>
        <v>2.4589760907170768</v>
      </c>
      <c r="O275" s="7">
        <f ca="1">IF(O$6=OFFSET(Assumptions!$B$8,0,$C$1),AVERAGE(L$275/L$274,M$275/M$274,N$275/N$274),N$275/N$274)*O$274</f>
        <v>2.4589760907170768</v>
      </c>
      <c r="P275" s="7">
        <f ca="1">IF(P$6=OFFSET(Assumptions!$B$8,0,$C$1),AVERAGE(M$275/M$274,N$275/N$274,O$275/O$274),O$275/O$274)*P$274</f>
        <v>2.4589760907170768</v>
      </c>
      <c r="Q275" s="7">
        <f ca="1">IF(Q$6=OFFSET(Assumptions!$B$8,0,$C$1),AVERAGE(N$275/N$274,O$275/O$274,P$275/P$274),P$275/P$274)*Q$274</f>
        <v>2.4589760907170768</v>
      </c>
      <c r="R275" s="7">
        <f ca="1">IF(R$6=OFFSET(Assumptions!$B$8,0,$C$1),AVERAGE(O$275/O$274,P$275/P$274,Q$275/Q$274),Q$275/Q$274)*R$274</f>
        <v>2.4589760907170768</v>
      </c>
      <c r="S275" s="7">
        <f ca="1">IF(S$6=OFFSET(Assumptions!$B$8,0,$C$1),AVERAGE(P$275/P$274,Q$275/Q$274,R$275/R$274),R$275/R$274)*S$274</f>
        <v>2.4589760907170768</v>
      </c>
      <c r="T275" s="7">
        <f ca="1">IF(T$6=OFFSET(Assumptions!$B$8,0,$C$1),AVERAGE(Q$275/Q$274,R$275/R$274,S$275/S$274),S$275/S$274)*T$274</f>
        <v>2.4589760907170768</v>
      </c>
      <c r="U275" s="7">
        <f ca="1">IF(U$6=OFFSET(Assumptions!$B$8,0,$C$1),AVERAGE(R$275/R$274,S$275/S$274,T$275/T$274),T$275/T$274)*U$274</f>
        <v>2.4589760907170768</v>
      </c>
    </row>
    <row r="276" spans="1:21" ht="15" x14ac:dyDescent="0.25">
      <c r="A276" s="2"/>
      <c r="B276" s="4"/>
      <c r="D276" s="39"/>
      <c r="E276" s="39"/>
      <c r="F276" s="39"/>
      <c r="G276" s="38"/>
      <c r="H276" s="38"/>
      <c r="I276" s="38"/>
      <c r="J276" s="38"/>
      <c r="K276" s="38"/>
      <c r="L276" s="7"/>
      <c r="M276" s="7"/>
      <c r="N276" s="7"/>
      <c r="O276" s="7"/>
      <c r="P276" s="7"/>
      <c r="Q276" s="7"/>
      <c r="R276" s="7"/>
      <c r="S276" s="7"/>
      <c r="T276" s="7"/>
      <c r="U276" s="7"/>
    </row>
    <row r="277" spans="1:21" ht="15" x14ac:dyDescent="0.25">
      <c r="A277" s="18" t="s">
        <v>523</v>
      </c>
      <c r="B277" s="4"/>
      <c r="D277" s="7"/>
      <c r="E277" s="7"/>
      <c r="F277" s="7"/>
      <c r="G277" s="7"/>
      <c r="H277" s="7"/>
      <c r="I277" s="7"/>
      <c r="J277" s="7"/>
      <c r="K277" s="7"/>
      <c r="L277" s="7"/>
      <c r="M277" s="7"/>
      <c r="N277" s="7"/>
      <c r="O277" s="7"/>
      <c r="P277" s="7"/>
      <c r="Q277" s="7"/>
      <c r="R277" s="7"/>
      <c r="S277" s="7"/>
      <c r="T277" s="7"/>
      <c r="U277" s="7"/>
    </row>
    <row r="278" spans="1:21" x14ac:dyDescent="0.2">
      <c r="A278" s="1" t="s">
        <v>298</v>
      </c>
      <c r="B278" s="4" t="str">
        <f t="shared" ref="B278:B281" si="141">$B$37</f>
        <v>From Fiscal</v>
      </c>
      <c r="D278" s="14">
        <f>'Fiscal Forecasts'!D$57</f>
        <v>2.2909999999999999</v>
      </c>
      <c r="E278" s="14">
        <f>'Fiscal Forecasts'!E$57</f>
        <v>2.1779999999999999</v>
      </c>
      <c r="F278" s="14">
        <f>'Fiscal Forecasts'!F$57</f>
        <v>2.1760000000000002</v>
      </c>
      <c r="G278" s="15">
        <f>'Fiscal Forecasts'!G$57 +IF($C$2="Yes",'Fiscal Forecast Adjuster'!C$24/1000,0)</f>
        <v>2.452</v>
      </c>
      <c r="H278" s="15">
        <f>'Fiscal Forecasts'!H$57 +IF($C$2="Yes",'Fiscal Forecast Adjuster'!D$24/1000,0)</f>
        <v>2.6219999999999999</v>
      </c>
      <c r="I278" s="15">
        <f>'Fiscal Forecasts'!I$57 +IF($C$2="Yes",'Fiscal Forecast Adjuster'!E$24/1000,0)</f>
        <v>2.52</v>
      </c>
      <c r="J278" s="15">
        <f>'Fiscal Forecasts'!J$57 +IF($C$2="Yes",'Fiscal Forecast Adjuster'!F$24/1000,0)</f>
        <v>2.883</v>
      </c>
      <c r="K278" s="15">
        <f>'Fiscal Forecasts'!K$57 +IF($C$2="Yes",'Fiscal Forecast Adjuster'!G$24/1000,0)</f>
        <v>2.5939999999999999</v>
      </c>
      <c r="L278" s="6">
        <f ca="1">IF(L$6=OFFSET(Assumptions!$B$8,0,$C$1),AVERAGE(I$278/I$128,J$278/J$128,K$278/K$128),K$278/K$128)*L$128</f>
        <v>3.0921988246058731</v>
      </c>
      <c r="M278" s="6">
        <f ca="1">IF(M$6=OFFSET(Assumptions!$B$8,0,$C$1),AVERAGE(J$278/J$128,K$278/K$128,L$278/L$128),L$278/L$128)*M$128</f>
        <v>3.4866017352831951</v>
      </c>
      <c r="N278" s="6">
        <f ca="1">IF(N$6=OFFSET(Assumptions!$B$8,0,$C$1),AVERAGE(K$278/K$128,L$278/L$128,M$278/M$128),M$278/M$128)*N$128</f>
        <v>3.6419588139203469</v>
      </c>
      <c r="O278" s="6">
        <f ca="1">IF(O$6=OFFSET(Assumptions!$B$8,0,$C$1),AVERAGE(L$278/L$128,M$278/M$128,N$278/N$128),N$278/N$128)*O$128</f>
        <v>3.8012939549254736</v>
      </c>
      <c r="P278" s="6">
        <f ca="1">IF(P$6=OFFSET(Assumptions!$B$8,0,$C$1),AVERAGE(M$278/M$128,N$278/N$128,O$278/O$128),O$278/O$128)*P$128</f>
        <v>3.9660398008719699</v>
      </c>
      <c r="Q278" s="6">
        <f ca="1">IF(Q$6=OFFSET(Assumptions!$B$8,0,$C$1),AVERAGE(N$278/N$128,O$278/O$128,P$278/P$128),P$278/P$128)*Q$128</f>
        <v>4.1364587969598636</v>
      </c>
      <c r="R278" s="6">
        <f ca="1">IF(R$6=OFFSET(Assumptions!$B$8,0,$C$1),AVERAGE(O$278/O$128,P$278/P$128,Q$278/Q$128),Q$278/Q$128)*R$128</f>
        <v>4.3122577088449985</v>
      </c>
      <c r="S278" s="6">
        <f ca="1">IF(S$6=OFFSET(Assumptions!$B$8,0,$C$1),AVERAGE(P$278/P$128,Q$278/Q$128,R$278/R$128),R$278/R$128)*S$128</f>
        <v>4.4939601156032083</v>
      </c>
      <c r="T278" s="6">
        <f ca="1">IF(T$6=OFFSET(Assumptions!$B$8,0,$C$1),AVERAGE(Q$278/Q$128,R$278/R$128,S$278/S$128),S$278/S$128)*T$128</f>
        <v>4.681731362621723</v>
      </c>
      <c r="U278" s="6">
        <f ca="1">IF(U$6=OFFSET(Assumptions!$B$8,0,$C$1),AVERAGE(R$278/R$128,S$278/S$128,T$278/T$128),T$278/T$128)*U$128</f>
        <v>4.8761390713650572</v>
      </c>
    </row>
    <row r="279" spans="1:21" x14ac:dyDescent="0.2">
      <c r="A279" s="1" t="s">
        <v>272</v>
      </c>
      <c r="B279" s="4" t="str">
        <f t="shared" si="141"/>
        <v>From Fiscal</v>
      </c>
      <c r="D279" s="14">
        <f>'Fiscal Forecasts'!D$195</f>
        <v>2.5640000000000001</v>
      </c>
      <c r="E279" s="14">
        <f>'Fiscal Forecasts'!E$195</f>
        <v>2.6579999999999999</v>
      </c>
      <c r="F279" s="14">
        <f>'Fiscal Forecasts'!F$195</f>
        <v>2.625</v>
      </c>
      <c r="G279" s="15">
        <f>'Fiscal Forecasts'!G$195</f>
        <v>2.8010000000000002</v>
      </c>
      <c r="H279" s="15">
        <f>'Fiscal Forecasts'!H$195</f>
        <v>3.0539999999999998</v>
      </c>
      <c r="I279" s="15">
        <f>'Fiscal Forecasts'!I$195</f>
        <v>2.948</v>
      </c>
      <c r="J279" s="15">
        <f>'Fiscal Forecasts'!J$195</f>
        <v>3.298</v>
      </c>
      <c r="K279" s="15">
        <f>'Fiscal Forecasts'!K$195</f>
        <v>2.9420000000000002</v>
      </c>
      <c r="L279" s="6">
        <f ca="1">IF(L$6=OFFSET(Assumptions!$B$8,0,$C$1),AVERAGE(I$279/I$278,J$279/J$278,K$279/K$278),K$279/K$278)*L$278</f>
        <v>3.5539097613202917</v>
      </c>
      <c r="M279" s="6">
        <f ca="1">IF(M$6=OFFSET(Assumptions!$B$8,0,$C$1),AVERAGE(J$279/J$278,K$279/K$278,L$279/L$278),L$279/L$278)*M$278</f>
        <v>4.0072028493958696</v>
      </c>
      <c r="N279" s="6">
        <f ca="1">IF(N$6=OFFSET(Assumptions!$B$8,0,$C$1),AVERAGE(K$279/K$278,L$279/L$278,M$279/M$278),M$279/M$278)*N$278</f>
        <v>4.1857570335140757</v>
      </c>
      <c r="O279" s="6">
        <f ca="1">IF(O$6=OFFSET(Assumptions!$B$8,0,$C$1),AVERAGE(L$279/L$278,M$279/M$278,N$279/N$278),N$279/N$278)*O$278</f>
        <v>4.3688832634425925</v>
      </c>
      <c r="P279" s="6">
        <f ca="1">IF(P$6=OFFSET(Assumptions!$B$8,0,$C$1),AVERAGE(M$279/M$278,N$279/N$278,O$279/O$278),O$279/O$278)*P$278</f>
        <v>4.5582280964420843</v>
      </c>
      <c r="Q279" s="6">
        <f ca="1">IF(Q$6=OFFSET(Assumptions!$B$8,0,$C$1),AVERAGE(N$279/N$278,O$279/O$278,P$279/P$278),P$279/P$278)*Q$278</f>
        <v>4.7540931646555959</v>
      </c>
      <c r="R279" s="6">
        <f ca="1">IF(R$6=OFFSET(Assumptions!$B$8,0,$C$1),AVERAGE(O$279/O$278,P$279/P$278,Q$279/Q$278),Q$279/Q$278)*R$278</f>
        <v>4.9561414495221738</v>
      </c>
      <c r="S279" s="6">
        <f ca="1">IF(S$6=OFFSET(Assumptions!$B$8,0,$C$1),AVERAGE(P$279/P$278,Q$279/Q$278,R$279/R$278),R$279/R$278)*S$278</f>
        <v>5.1649747082036237</v>
      </c>
      <c r="T279" s="6">
        <f ca="1">IF(T$6=OFFSET(Assumptions!$B$8,0,$C$1),AVERAGE(Q$279/Q$278,R$279/R$278,S$279/S$278),S$279/S$278)*T$278</f>
        <v>5.3807829745945916</v>
      </c>
      <c r="U279" s="6">
        <f ca="1">IF(U$6=OFFSET(Assumptions!$B$8,0,$C$1),AVERAGE(R$279/R$278,S$279/S$278,T$279/T$278),T$279/T$278)*U$278</f>
        <v>5.604218624424421</v>
      </c>
    </row>
    <row r="280" spans="1:21" x14ac:dyDescent="0.2">
      <c r="A280" s="1" t="s">
        <v>483</v>
      </c>
      <c r="B280" s="4" t="str">
        <f t="shared" si="141"/>
        <v>From Fiscal</v>
      </c>
      <c r="D280" s="14">
        <f>'Fiscal Forecasts'!D$196</f>
        <v>6.9189999999999996</v>
      </c>
      <c r="E280" s="14">
        <f>'Fiscal Forecasts'!E$196</f>
        <v>7.0590000000000002</v>
      </c>
      <c r="F280" s="14">
        <f>'Fiscal Forecasts'!F$196</f>
        <v>6.9619999999999997</v>
      </c>
      <c r="G280" s="15">
        <f>'Fiscal Forecasts'!G$196</f>
        <v>7.6040000000000001</v>
      </c>
      <c r="H280" s="15">
        <f>'Fiscal Forecasts'!H$196</f>
        <v>8.0909999999999993</v>
      </c>
      <c r="I280" s="15">
        <f>'Fiscal Forecasts'!I$196</f>
        <v>8.3070000000000004</v>
      </c>
      <c r="J280" s="15">
        <f>'Fiscal Forecasts'!J$196</f>
        <v>8.6539999999999999</v>
      </c>
      <c r="K280" s="15">
        <f>'Fiscal Forecasts'!K$196</f>
        <v>9.0239999999999991</v>
      </c>
      <c r="L280" s="6">
        <f ca="1">IF(L$6=OFFSET(Assumptions!$B$8,0,$C$1),AVERAGE(I$280/I$13,J$280/J$13,K$280/K$13),K$280/K$13)*L$13</f>
        <v>9.4740216276693552</v>
      </c>
      <c r="M280" s="6">
        <f ca="1">IF(M$6=OFFSET(Assumptions!$B$8,0,$C$1),AVERAGE(J$280/J$13,K$280/K$13,L$280/L$13),L$280/L$13)*M$13</f>
        <v>9.9059984886175076</v>
      </c>
      <c r="N280" s="6">
        <f ca="1">IF(N$6=OFFSET(Assumptions!$B$8,0,$C$1),AVERAGE(K$280/K$13,L$280/L$13,M$280/M$13),M$280/M$13)*N$13</f>
        <v>10.347393033512569</v>
      </c>
      <c r="O280" s="6">
        <f ca="1">IF(O$6=OFFSET(Assumptions!$B$8,0,$C$1),AVERAGE(L$280/L$13,M$280/M$13,N$280/N$13),N$280/N$13)*O$13</f>
        <v>10.800089895906645</v>
      </c>
      <c r="P280" s="6">
        <f ca="1">IF(P$6=OFFSET(Assumptions!$B$8,0,$C$1),AVERAGE(M$280/M$13,N$280/N$13,O$280/O$13),O$280/O$13)*P$13</f>
        <v>11.268159444670134</v>
      </c>
      <c r="Q280" s="6">
        <f ca="1">IF(Q$6=OFFSET(Assumptions!$B$8,0,$C$1),AVERAGE(N$280/N$13,O$280/O$13,P$280/P$13),P$280/P$13)*Q$13</f>
        <v>11.75234732899162</v>
      </c>
      <c r="R280" s="6">
        <f ca="1">IF(R$6=OFFSET(Assumptions!$B$8,0,$C$1),AVERAGE(O$280/O$13,P$280/P$13,Q$280/Q$13),Q$280/Q$13)*R$13</f>
        <v>12.251820422752727</v>
      </c>
      <c r="S280" s="6">
        <f ca="1">IF(S$6=OFFSET(Assumptions!$B$8,0,$C$1),AVERAGE(P$280/P$13,Q$280/Q$13,R$280/R$13),R$280/R$13)*S$13</f>
        <v>12.768066298646778</v>
      </c>
      <c r="T280" s="6">
        <f ca="1">IF(T$6=OFFSET(Assumptions!$B$8,0,$C$1),AVERAGE(Q$280/Q$13,R$280/R$13,S$280/S$13),S$280/S$13)*T$13</f>
        <v>13.301554729616123</v>
      </c>
      <c r="U280" s="6">
        <f ca="1">IF(U$6=OFFSET(Assumptions!$B$8,0,$C$1),AVERAGE(R$280/R$13,S$280/S$13,T$280/T$13),T$280/T$13)*U$13</f>
        <v>13.853898419891559</v>
      </c>
    </row>
    <row r="281" spans="1:21" x14ac:dyDescent="0.2">
      <c r="A281" s="1" t="s">
        <v>484</v>
      </c>
      <c r="B281" s="4" t="str">
        <f t="shared" si="141"/>
        <v>From Fiscal</v>
      </c>
      <c r="D281" s="14">
        <f>'Fiscal Forecasts'!D$40-SUM(D$278:D$280)</f>
        <v>-2.495000000000001</v>
      </c>
      <c r="E281" s="14">
        <f>'Fiscal Forecasts'!E$40-SUM(E$278:E$280)</f>
        <v>-2.4949999999999992</v>
      </c>
      <c r="F281" s="14">
        <f>'Fiscal Forecasts'!F$40-SUM(F$278:F$280)</f>
        <v>-2.4030000000000005</v>
      </c>
      <c r="G281" s="15">
        <f>'Fiscal Forecasts'!G$40-SUM(G$278:G$280) +IF($C$2="Yes",'Fiscal Forecast Adjuster'!C$24/1000,0)</f>
        <v>-2.6899999999999995</v>
      </c>
      <c r="H281" s="15">
        <f>'Fiscal Forecasts'!H$40-SUM(H$278:H$280) +IF($C$2="Yes",'Fiscal Forecast Adjuster'!D$24/1000,0)</f>
        <v>-2.8289999999999988</v>
      </c>
      <c r="I281" s="15">
        <f>'Fiscal Forecasts'!I$40-SUM(I$278:I$280) +IF($C$2="Yes",'Fiscal Forecast Adjuster'!E$24/1000,0)</f>
        <v>-2.7720000000000002</v>
      </c>
      <c r="J281" s="15">
        <f>'Fiscal Forecasts'!J$40-SUM(J$278:J$280) +IF($C$2="Yes",'Fiscal Forecast Adjuster'!F$24/1000,0)</f>
        <v>-3.1760000000000002</v>
      </c>
      <c r="K281" s="15">
        <f>'Fiscal Forecasts'!K$40-SUM(K$278:K$280) +IF($C$2="Yes",'Fiscal Forecast Adjuster'!G$24/1000,0)</f>
        <v>-2.9049999999999994</v>
      </c>
      <c r="L281" s="6">
        <f ca="1">IF(L$6=OFFSET(Assumptions!$B$8,0,$C$1),AVERAGE(I$281/I$278,J$281/J$278,K$281/K$278),K$281/K$278)*L$278</f>
        <v>-3.4236024556716806</v>
      </c>
      <c r="M281" s="6">
        <f ca="1">IF(M$6=OFFSET(Assumptions!$B$8,0,$C$1),AVERAGE(J$281/J$278,K$281/K$278,L$281/L$278),L$281/L$278)*M$278</f>
        <v>-3.8602751439782104</v>
      </c>
      <c r="N281" s="6">
        <f ca="1">IF(N$6=OFFSET(Assumptions!$B$8,0,$C$1),AVERAGE(K$281/K$278,L$281/L$278,M$281/M$278),M$281/M$278)*N$278</f>
        <v>-4.0322824779490212</v>
      </c>
      <c r="O281" s="6">
        <f ca="1">IF(O$6=OFFSET(Assumptions!$B$8,0,$C$1),AVERAGE(L$281/L$278,M$281/M$278,N$281/N$278),N$281/N$278)*O$278</f>
        <v>-4.2086942195482937</v>
      </c>
      <c r="P281" s="6">
        <f ca="1">IF(P$6=OFFSET(Assumptions!$B$8,0,$C$1),AVERAGE(M$281/M$278,N$281/N$278,O$281/O$278),O$281/O$278)*P$278</f>
        <v>-4.3910965535301729</v>
      </c>
      <c r="Q281" s="6">
        <f ca="1">IF(Q$6=OFFSET(Assumptions!$B$8,0,$C$1),AVERAGE(N$281/N$278,O$281/O$278,P$281/P$278),P$281/P$278)*Q$278</f>
        <v>-4.5797800524232235</v>
      </c>
      <c r="R281" s="6">
        <f ca="1">IF(R$6=OFFSET(Assumptions!$B$8,0,$C$1),AVERAGE(O$281/O$278,P$281/P$278,Q$281/Q$278),Q$281/Q$278)*R$278</f>
        <v>-4.7744200547558906</v>
      </c>
      <c r="S281" s="6">
        <f ca="1">IF(S$6=OFFSET(Assumptions!$B$8,0,$C$1),AVERAGE(P$281/P$278,Q$281/Q$278,R$281/R$278),R$281/R$278)*S$278</f>
        <v>-4.975596253721088</v>
      </c>
      <c r="T281" s="6">
        <f ca="1">IF(T$6=OFFSET(Assumptions!$B$8,0,$C$1),AVERAGE(Q$281/Q$278,R$281/R$278,S$281/S$278),S$281/S$278)*T$278</f>
        <v>-5.1834917154493807</v>
      </c>
      <c r="U281" s="6">
        <f ca="1">IF(U$6=OFFSET(Assumptions!$B$8,0,$C$1),AVERAGE(R$281/R$278,S$281/S$278,T$281/T$278),T$281/T$278)*U$278</f>
        <v>-5.398734895725803</v>
      </c>
    </row>
    <row r="282" spans="1:21" ht="15" x14ac:dyDescent="0.25">
      <c r="A282" s="2" t="s">
        <v>524</v>
      </c>
      <c r="D282" s="34">
        <f t="shared" ref="D282:U282" si="142">SUM(D$278:D$281)</f>
        <v>9.2789999999999999</v>
      </c>
      <c r="E282" s="34">
        <f t="shared" si="142"/>
        <v>9.4</v>
      </c>
      <c r="F282" s="34">
        <f t="shared" si="142"/>
        <v>9.36</v>
      </c>
      <c r="G282" s="33">
        <f t="shared" si="142"/>
        <v>10.167</v>
      </c>
      <c r="H282" s="33">
        <f t="shared" si="142"/>
        <v>10.938000000000001</v>
      </c>
      <c r="I282" s="33">
        <f t="shared" si="142"/>
        <v>11.003</v>
      </c>
      <c r="J282" s="33">
        <f t="shared" si="142"/>
        <v>11.659000000000001</v>
      </c>
      <c r="K282" s="33">
        <f t="shared" si="142"/>
        <v>11.654999999999999</v>
      </c>
      <c r="L282" s="37">
        <f t="shared" ca="1" si="142"/>
        <v>12.696527757923839</v>
      </c>
      <c r="M282" s="37">
        <f t="shared" ca="1" si="142"/>
        <v>13.539527929318364</v>
      </c>
      <c r="N282" s="37">
        <f t="shared" ca="1" si="142"/>
        <v>14.142826402997972</v>
      </c>
      <c r="O282" s="37">
        <f t="shared" ca="1" si="142"/>
        <v>14.761572894726418</v>
      </c>
      <c r="P282" s="37">
        <f t="shared" ca="1" si="142"/>
        <v>15.401330788454015</v>
      </c>
      <c r="Q282" s="37">
        <f t="shared" ca="1" si="142"/>
        <v>16.063119238183855</v>
      </c>
      <c r="R282" s="37">
        <f t="shared" ca="1" si="142"/>
        <v>16.74579952636401</v>
      </c>
      <c r="S282" s="37">
        <f t="shared" ca="1" si="142"/>
        <v>17.451404868732524</v>
      </c>
      <c r="T282" s="37">
        <f t="shared" ca="1" si="142"/>
        <v>18.180577351383054</v>
      </c>
      <c r="U282" s="37">
        <f t="shared" ca="1" si="142"/>
        <v>18.935521219955234</v>
      </c>
    </row>
    <row r="283" spans="1:21" ht="15" x14ac:dyDescent="0.25">
      <c r="A283" s="2"/>
      <c r="D283" s="46"/>
      <c r="E283" s="46"/>
      <c r="F283" s="46"/>
      <c r="G283" s="47"/>
      <c r="H283" s="47"/>
      <c r="I283" s="47"/>
      <c r="J283" s="47"/>
      <c r="K283" s="47"/>
      <c r="L283" s="48"/>
      <c r="M283" s="48"/>
      <c r="N283" s="48"/>
      <c r="O283" s="48"/>
      <c r="P283" s="48"/>
      <c r="Q283" s="48"/>
      <c r="R283" s="48"/>
      <c r="S283" s="48"/>
      <c r="T283" s="48"/>
      <c r="U283" s="48"/>
    </row>
    <row r="284" spans="1:21" ht="15" x14ac:dyDescent="0.25">
      <c r="A284" s="18" t="s">
        <v>525</v>
      </c>
      <c r="D284" s="46"/>
      <c r="E284" s="46"/>
      <c r="F284" s="46"/>
      <c r="G284" s="47"/>
      <c r="H284" s="47"/>
      <c r="I284" s="47"/>
      <c r="J284" s="47"/>
      <c r="K284" s="47"/>
      <c r="L284" s="48"/>
      <c r="M284" s="48"/>
      <c r="N284" s="48"/>
      <c r="O284" s="48"/>
      <c r="P284" s="48"/>
      <c r="Q284" s="48"/>
      <c r="R284" s="48"/>
      <c r="S284" s="48"/>
      <c r="T284" s="48"/>
      <c r="U284" s="48"/>
    </row>
    <row r="285" spans="1:21" x14ac:dyDescent="0.2">
      <c r="A285" s="1" t="s">
        <v>1221</v>
      </c>
      <c r="D285" s="14">
        <f>D$228</f>
        <v>6.0000000000000001E-3</v>
      </c>
      <c r="E285" s="14">
        <f t="shared" ref="E285:U285" si="143">E$228</f>
        <v>0</v>
      </c>
      <c r="F285" s="14">
        <f t="shared" si="143"/>
        <v>8.0000000000000002E-3</v>
      </c>
      <c r="G285" s="15">
        <f t="shared" si="143"/>
        <v>0.05</v>
      </c>
      <c r="H285" s="15">
        <f t="shared" si="143"/>
        <v>1E-3</v>
      </c>
      <c r="I285" s="15">
        <f t="shared" si="143"/>
        <v>1E-3</v>
      </c>
      <c r="J285" s="15">
        <f t="shared" si="143"/>
        <v>1E-3</v>
      </c>
      <c r="K285" s="15">
        <f t="shared" si="143"/>
        <v>1E-3</v>
      </c>
      <c r="L285" s="6">
        <f t="shared" ca="1" si="143"/>
        <v>0</v>
      </c>
      <c r="M285" s="6">
        <f t="shared" ca="1" si="143"/>
        <v>0</v>
      </c>
      <c r="N285" s="6">
        <f t="shared" ca="1" si="143"/>
        <v>0</v>
      </c>
      <c r="O285" s="6">
        <f t="shared" ca="1" si="143"/>
        <v>0</v>
      </c>
      <c r="P285" s="6">
        <f t="shared" ca="1" si="143"/>
        <v>0</v>
      </c>
      <c r="Q285" s="6">
        <f t="shared" ca="1" si="143"/>
        <v>0</v>
      </c>
      <c r="R285" s="6">
        <f t="shared" ca="1" si="143"/>
        <v>0</v>
      </c>
      <c r="S285" s="6">
        <f t="shared" ca="1" si="143"/>
        <v>0</v>
      </c>
      <c r="T285" s="6">
        <f t="shared" ca="1" si="143"/>
        <v>0</v>
      </c>
      <c r="U285" s="6">
        <f t="shared" ca="1" si="143"/>
        <v>0</v>
      </c>
    </row>
    <row r="286" spans="1:21" x14ac:dyDescent="0.2">
      <c r="A286" s="1" t="s">
        <v>474</v>
      </c>
      <c r="D286" s="14">
        <f t="shared" ref="D286:U286" si="144">D$180</f>
        <v>0.85599999999999998</v>
      </c>
      <c r="E286" s="14">
        <f t="shared" si="144"/>
        <v>0.69799999999999995</v>
      </c>
      <c r="F286" s="14">
        <f t="shared" si="144"/>
        <v>0.74299999999999999</v>
      </c>
      <c r="G286" s="15">
        <f t="shared" si="144"/>
        <v>0.83</v>
      </c>
      <c r="H286" s="15">
        <f t="shared" si="144"/>
        <v>0.86</v>
      </c>
      <c r="I286" s="15">
        <f t="shared" si="144"/>
        <v>0.90100000000000002</v>
      </c>
      <c r="J286" s="15">
        <f t="shared" si="144"/>
        <v>0.94299999999999995</v>
      </c>
      <c r="K286" s="15">
        <f t="shared" si="144"/>
        <v>0.98199999999999998</v>
      </c>
      <c r="L286" s="6">
        <f t="shared" ca="1" si="144"/>
        <v>1.0169999999999999</v>
      </c>
      <c r="M286" s="6">
        <f t="shared" ca="1" si="144"/>
        <v>1.052</v>
      </c>
      <c r="N286" s="6">
        <f t="shared" ca="1" si="144"/>
        <v>1.085</v>
      </c>
      <c r="O286" s="6">
        <f t="shared" ca="1" si="144"/>
        <v>1.1180000000000001</v>
      </c>
      <c r="P286" s="6">
        <f t="shared" ca="1" si="144"/>
        <v>1.147</v>
      </c>
      <c r="Q286" s="6">
        <f t="shared" ca="1" si="144"/>
        <v>1.1739999999999999</v>
      </c>
      <c r="R286" s="6">
        <f t="shared" ca="1" si="144"/>
        <v>1.198</v>
      </c>
      <c r="S286" s="6">
        <f t="shared" ca="1" si="144"/>
        <v>1.2210000000000001</v>
      </c>
      <c r="T286" s="6">
        <f t="shared" ca="1" si="144"/>
        <v>1.244</v>
      </c>
      <c r="U286" s="6">
        <f t="shared" ca="1" si="144"/>
        <v>1.266</v>
      </c>
    </row>
    <row r="287" spans="1:21" x14ac:dyDescent="0.2">
      <c r="A287" s="1" t="s">
        <v>526</v>
      </c>
      <c r="B287" s="4" t="str">
        <f>$B$37</f>
        <v>From Fiscal</v>
      </c>
      <c r="D287" s="14">
        <f>'Fiscal Forecasts'!D$58-SUM(D$285:D$286)</f>
        <v>1.3660000000000001</v>
      </c>
      <c r="E287" s="14">
        <f>'Fiscal Forecasts'!E$58-SUM(E$285:E$286)</f>
        <v>1.4090000000000003</v>
      </c>
      <c r="F287" s="14">
        <f>'Fiscal Forecasts'!F$58-SUM(F$285:F$286)</f>
        <v>1.7930000000000001</v>
      </c>
      <c r="G287" s="15">
        <f>'Fiscal Forecasts'!G$58-SUM(G$285:G$286) +IF($C$2="Yes",'Fiscal Forecast Adjuster'!C$22/1000,0)</f>
        <v>2.0500000000000003</v>
      </c>
      <c r="H287" s="15">
        <f>'Fiscal Forecasts'!H$58-SUM(H$285:H$286) +IF($C$2="Yes",'Fiscal Forecast Adjuster'!D$22/1000,0)</f>
        <v>2.4459999999999997</v>
      </c>
      <c r="I287" s="15">
        <f>'Fiscal Forecasts'!I$58-SUM(I$285:I$286) +IF($C$2="Yes",'Fiscal Forecast Adjuster'!E$22/1000,0)</f>
        <v>2.2629999999999999</v>
      </c>
      <c r="J287" s="15">
        <f>'Fiscal Forecasts'!J$58-SUM(J$285:J$286) +IF($C$2="Yes",'Fiscal Forecast Adjuster'!F$22/1000,0)</f>
        <v>2.1800000000000002</v>
      </c>
      <c r="K287" s="15">
        <f>'Fiscal Forecasts'!K$58-SUM(K$285:K$286) +IF($C$2="Yes",'Fiscal Forecast Adjuster'!G$22/1000,0)</f>
        <v>2.1579999999999999</v>
      </c>
      <c r="L287" s="6">
        <f>K$287</f>
        <v>2.1579999999999999</v>
      </c>
      <c r="M287" s="6">
        <f t="shared" ref="M287:U287" si="145">L$287</f>
        <v>2.1579999999999999</v>
      </c>
      <c r="N287" s="6">
        <f t="shared" si="145"/>
        <v>2.1579999999999999</v>
      </c>
      <c r="O287" s="6">
        <f t="shared" si="145"/>
        <v>2.1579999999999999</v>
      </c>
      <c r="P287" s="6">
        <f t="shared" si="145"/>
        <v>2.1579999999999999</v>
      </c>
      <c r="Q287" s="6">
        <f t="shared" si="145"/>
        <v>2.1579999999999999</v>
      </c>
      <c r="R287" s="6">
        <f t="shared" si="145"/>
        <v>2.1579999999999999</v>
      </c>
      <c r="S287" s="6">
        <f t="shared" si="145"/>
        <v>2.1579999999999999</v>
      </c>
      <c r="T287" s="6">
        <f t="shared" si="145"/>
        <v>2.1579999999999999</v>
      </c>
      <c r="U287" s="6">
        <f t="shared" si="145"/>
        <v>2.1579999999999999</v>
      </c>
    </row>
    <row r="288" spans="1:21" ht="15" x14ac:dyDescent="0.25">
      <c r="A288" s="2" t="s">
        <v>527</v>
      </c>
      <c r="D288" s="34">
        <f>SUM(D$285:D$287)</f>
        <v>2.2280000000000002</v>
      </c>
      <c r="E288" s="34">
        <f>SUM(E$285:E$287)</f>
        <v>2.1070000000000002</v>
      </c>
      <c r="F288" s="34">
        <f>SUM(F$285:F$287)</f>
        <v>2.544</v>
      </c>
      <c r="G288" s="33">
        <f t="shared" ref="G288:U288" si="146">SUM(G$285:G$287)</f>
        <v>2.93</v>
      </c>
      <c r="H288" s="33">
        <f t="shared" si="146"/>
        <v>3.3069999999999995</v>
      </c>
      <c r="I288" s="33">
        <f t="shared" si="146"/>
        <v>3.165</v>
      </c>
      <c r="J288" s="33">
        <f t="shared" si="146"/>
        <v>3.1240000000000001</v>
      </c>
      <c r="K288" s="33">
        <f t="shared" si="146"/>
        <v>3.141</v>
      </c>
      <c r="L288" s="37">
        <f t="shared" ca="1" si="146"/>
        <v>3.1749999999999998</v>
      </c>
      <c r="M288" s="37">
        <f t="shared" ca="1" si="146"/>
        <v>3.21</v>
      </c>
      <c r="N288" s="37">
        <f t="shared" ca="1" si="146"/>
        <v>3.2429999999999999</v>
      </c>
      <c r="O288" s="37">
        <f t="shared" ca="1" si="146"/>
        <v>3.2759999999999998</v>
      </c>
      <c r="P288" s="37">
        <f t="shared" ca="1" si="146"/>
        <v>3.3049999999999997</v>
      </c>
      <c r="Q288" s="37">
        <f t="shared" ca="1" si="146"/>
        <v>3.3319999999999999</v>
      </c>
      <c r="R288" s="37">
        <f t="shared" ca="1" si="146"/>
        <v>3.3559999999999999</v>
      </c>
      <c r="S288" s="37">
        <f t="shared" ca="1" si="146"/>
        <v>3.379</v>
      </c>
      <c r="T288" s="37">
        <f t="shared" ca="1" si="146"/>
        <v>3.4020000000000001</v>
      </c>
      <c r="U288" s="37">
        <f t="shared" ca="1" si="146"/>
        <v>3.4239999999999999</v>
      </c>
    </row>
    <row r="289" spans="1:21" ht="15" x14ac:dyDescent="0.25">
      <c r="A289" s="2" t="s">
        <v>528</v>
      </c>
      <c r="B289" s="4" t="str">
        <f>$B$37</f>
        <v>From Fiscal</v>
      </c>
      <c r="D289" s="39">
        <f>'Fiscal Forecasts'!D$41</f>
        <v>8.2349999999999994</v>
      </c>
      <c r="E289" s="39">
        <f>'Fiscal Forecasts'!E$41</f>
        <v>7.4279999999999999</v>
      </c>
      <c r="F289" s="39">
        <f>'Fiscal Forecasts'!F$41</f>
        <v>8.452</v>
      </c>
      <c r="G289" s="38">
        <f>'Fiscal Forecasts'!G$41 +IF($C$2="Yes",'Fiscal Forecast Adjuster'!C$22/1000,0)</f>
        <v>8.8309999999999995</v>
      </c>
      <c r="H289" s="38">
        <f>'Fiscal Forecasts'!H$41 +IF($C$2="Yes",'Fiscal Forecast Adjuster'!D$22/1000,0)</f>
        <v>9.15</v>
      </c>
      <c r="I289" s="38">
        <f>'Fiscal Forecasts'!I$41 +IF($C$2="Yes",'Fiscal Forecast Adjuster'!E$22/1000,0)</f>
        <v>9.3179999999999996</v>
      </c>
      <c r="J289" s="38">
        <f>'Fiscal Forecasts'!J$41 +IF($C$2="Yes",'Fiscal Forecast Adjuster'!F$22/1000,0)</f>
        <v>9.3970000000000002</v>
      </c>
      <c r="K289" s="38">
        <f>'Fiscal Forecasts'!K$41 +IF($C$2="Yes",'Fiscal Forecast Adjuster'!G$22/1000,0)</f>
        <v>9.6210000000000004</v>
      </c>
      <c r="L289" s="7">
        <f ca="1">SUM(L$288,IF(L$6=OFFSET(Assumptions!$B$8,0,$C$1),AVERAGE((I$289-I$288)/I$13,(J$289-J$288)/J$13,(K$289-K$288)/K$13),(K$289-K$288)/K$13)*L$13)</f>
        <v>10.071226546905692</v>
      </c>
      <c r="M289" s="7">
        <f ca="1">SUM(M$288,IF(M$6=OFFSET(Assumptions!$B$8,0,$C$1),AVERAGE((J$289-J$288)/J$13,(K$289-K$288)/K$13,(L$289-L$288)/L$13),(L$289-L$288)/L$13)*M$13)</f>
        <v>10.420666434547417</v>
      </c>
      <c r="N289" s="7">
        <f ca="1">SUM(N$288,IF(N$6=OFFSET(Assumptions!$B$8,0,$C$1),AVERAGE((K$289-K$288)/K$13,(L$289-L$288)/L$13,(M$289-M$288)/M$13),(M$289-M$288)/M$13)*N$13)</f>
        <v>10.774961540025608</v>
      </c>
      <c r="O289" s="7">
        <f ca="1">SUM(O$288,IF(O$6=OFFSET(Assumptions!$B$8,0,$C$1),AVERAGE((L$289-L$288)/L$13,(M$289-M$288)/M$13,(N$289-N$288)/N$13),(N$289-N$288)/N$13)*O$13)</f>
        <v>11.137483705251119</v>
      </c>
      <c r="P289" s="7">
        <f ca="1">SUM(P$288,IF(P$6=OFFSET(Assumptions!$B$8,0,$C$1),AVERAGE((M$289-M$288)/M$13,(N$289-N$288)/N$13,(O$289-O$288)/O$13),(O$289-O$288)/O$13)*P$13)</f>
        <v>11.507195788761004</v>
      </c>
      <c r="Q289" s="7">
        <f ca="1">SUM(Q$288,IF(Q$6=OFFSET(Assumptions!$B$8,0,$C$1),AVERAGE((N$289-N$288)/N$13,(O$289-O$288)/O$13,(P$289-P$288)/P$13),(P$289-P$288)/P$13)*Q$13)</f>
        <v>11.886640555384293</v>
      </c>
      <c r="R289" s="7">
        <f ca="1">SUM(R$288,IF(R$6=OFFSET(Assumptions!$B$8,0,$C$1),AVERAGE((O$289-O$288)/O$13,(P$289-P$288)/P$13,(Q$289-Q$288)/Q$13),(Q$289-Q$288)/Q$13)*R$13)</f>
        <v>12.274211565038808</v>
      </c>
      <c r="S289" s="7">
        <f ca="1">SUM(S$288,IF(S$6=OFFSET(Assumptions!$B$8,0,$C$1),AVERAGE((P$289-P$288)/P$13,(Q$289-Q$288)/Q$13,(R$289-R$288)/R$13),(R$289-R$288)/R$13)*S$13)</f>
        <v>12.67299163542344</v>
      </c>
      <c r="T289" s="7">
        <f ca="1">SUM(T$288,IF(T$6=OFFSET(Assumptions!$B$8,0,$C$1),AVERAGE((Q$289-Q$288)/Q$13,(R$289-R$288)/R$13,(S$289-S$288)/S$13),(S$289-S$288)/S$13)*T$13)</f>
        <v>13.084322718537393</v>
      </c>
      <c r="U289" s="7">
        <f ca="1">SUM(U$288,IF(U$6=OFFSET(Assumptions!$B$8,0,$C$1),AVERAGE((R$289-R$288)/R$13,(S$289-S$288)/S$13,(T$289-T$288)/T$13),(T$289-T$288)/T$13)*U$13)</f>
        <v>13.508378716464259</v>
      </c>
    </row>
    <row r="290" spans="1:21" ht="15" x14ac:dyDescent="0.25">
      <c r="A290" s="2"/>
      <c r="B290" s="4"/>
      <c r="D290" s="39"/>
      <c r="E290" s="39"/>
      <c r="F290" s="39"/>
      <c r="G290" s="38"/>
      <c r="H290" s="38"/>
      <c r="I290" s="38"/>
      <c r="J290" s="38"/>
      <c r="K290" s="38"/>
      <c r="L290" s="7"/>
      <c r="M290" s="7"/>
      <c r="N290" s="7"/>
      <c r="O290" s="7"/>
      <c r="P290" s="7"/>
      <c r="Q290" s="7"/>
      <c r="R290" s="7"/>
      <c r="S290" s="7"/>
      <c r="T290" s="7"/>
      <c r="U290" s="7"/>
    </row>
    <row r="291" spans="1:21" ht="15" x14ac:dyDescent="0.25">
      <c r="A291" s="18" t="s">
        <v>577</v>
      </c>
      <c r="D291" s="46"/>
      <c r="E291" s="46"/>
      <c r="F291" s="46"/>
      <c r="G291" s="47"/>
      <c r="H291" s="47"/>
      <c r="I291" s="47"/>
      <c r="J291" s="47"/>
      <c r="K291" s="47"/>
      <c r="L291" s="48"/>
      <c r="M291" s="48"/>
      <c r="N291" s="48"/>
      <c r="O291" s="48"/>
      <c r="P291" s="48"/>
      <c r="Q291" s="48"/>
      <c r="R291" s="48"/>
      <c r="S291" s="48"/>
      <c r="T291" s="48"/>
      <c r="U291" s="48"/>
    </row>
    <row r="292" spans="1:21" ht="15" x14ac:dyDescent="0.25">
      <c r="A292" s="2" t="s">
        <v>529</v>
      </c>
      <c r="B292" s="4" t="str">
        <f t="shared" ref="B292:B319" si="147">$B$37</f>
        <v>From Fiscal</v>
      </c>
      <c r="D292" s="39">
        <f>'Fiscal Forecasts'!D$60</f>
        <v>0.77800000000000002</v>
      </c>
      <c r="E292" s="39">
        <f>'Fiscal Forecasts'!E$60</f>
        <v>0.78700000000000003</v>
      </c>
      <c r="F292" s="39">
        <f>'Fiscal Forecasts'!F$60</f>
        <v>0.85</v>
      </c>
      <c r="G292" s="38">
        <f>'Fiscal Forecasts'!G$60</f>
        <v>0.88100000000000001</v>
      </c>
      <c r="H292" s="38">
        <f>'Fiscal Forecasts'!H$60</f>
        <v>0.88</v>
      </c>
      <c r="I292" s="38">
        <f>'Fiscal Forecasts'!I$60</f>
        <v>0.85099999999999998</v>
      </c>
      <c r="J292" s="38">
        <f>'Fiscal Forecasts'!J$60</f>
        <v>0.82</v>
      </c>
      <c r="K292" s="38">
        <f>'Fiscal Forecasts'!K$60</f>
        <v>0.83299999999999996</v>
      </c>
      <c r="L292" s="48">
        <f>K$292</f>
        <v>0.83299999999999996</v>
      </c>
      <c r="M292" s="48">
        <f t="shared" ref="M292:U292" si="148">L$292</f>
        <v>0.83299999999999996</v>
      </c>
      <c r="N292" s="48">
        <f t="shared" si="148"/>
        <v>0.83299999999999996</v>
      </c>
      <c r="O292" s="48">
        <f t="shared" si="148"/>
        <v>0.83299999999999996</v>
      </c>
      <c r="P292" s="48">
        <f t="shared" si="148"/>
        <v>0.83299999999999996</v>
      </c>
      <c r="Q292" s="48">
        <f t="shared" si="148"/>
        <v>0.83299999999999996</v>
      </c>
      <c r="R292" s="48">
        <f t="shared" si="148"/>
        <v>0.83299999999999996</v>
      </c>
      <c r="S292" s="48">
        <f t="shared" si="148"/>
        <v>0.83299999999999996</v>
      </c>
      <c r="T292" s="48">
        <f t="shared" si="148"/>
        <v>0.83299999999999996</v>
      </c>
      <c r="U292" s="48">
        <f t="shared" si="148"/>
        <v>0.83299999999999996</v>
      </c>
    </row>
    <row r="293" spans="1:21" ht="15" x14ac:dyDescent="0.25">
      <c r="A293" s="2" t="s">
        <v>530</v>
      </c>
      <c r="B293" s="4" t="str">
        <f t="shared" si="147"/>
        <v>From Fiscal</v>
      </c>
      <c r="D293" s="39">
        <f>'Fiscal Forecasts'!D$43</f>
        <v>2.198</v>
      </c>
      <c r="E293" s="39">
        <f>'Fiscal Forecasts'!E$43</f>
        <v>2.21</v>
      </c>
      <c r="F293" s="39">
        <f>'Fiscal Forecasts'!F$43</f>
        <v>2.4329999999999998</v>
      </c>
      <c r="G293" s="38">
        <f>'Fiscal Forecasts'!G$43</f>
        <v>2.5830000000000002</v>
      </c>
      <c r="H293" s="38">
        <f>'Fiscal Forecasts'!H$43</f>
        <v>2.6030000000000002</v>
      </c>
      <c r="I293" s="38">
        <f>'Fiscal Forecasts'!I$43</f>
        <v>2.6259999999999999</v>
      </c>
      <c r="J293" s="38">
        <f>'Fiscal Forecasts'!J$43</f>
        <v>2.6440000000000001</v>
      </c>
      <c r="K293" s="38">
        <f>'Fiscal Forecasts'!K$43</f>
        <v>2.7280000000000002</v>
      </c>
      <c r="L293" s="7">
        <f ca="1">SUM(L$292,IF(L$6=OFFSET(Assumptions!$B$8,0,$C$1),AVERAGE((I$293-I$292)/I$13,(J$293-J$292)/J$13,(K$293-K$292)/K$13),(K$293-K$292)/K$13)*L$13)</f>
        <v>2.8366062008674993</v>
      </c>
      <c r="M293" s="7">
        <f ca="1">SUM(M$292,IF(M$6=OFFSET(Assumptions!$B$8,0,$C$1),AVERAGE((J$293-J$292)/J$13,(K$293-K$292)/K$13,(L$293-L$292)/L$13),(L$293-L$292)/L$13)*M$13)</f>
        <v>2.9279624961391102</v>
      </c>
      <c r="N293" s="7">
        <f ca="1">SUM(N$292,IF(N$6=OFFSET(Assumptions!$B$8,0,$C$1),AVERAGE((K$293-K$292)/K$13,(L$293-L$292)/L$13,(M$293-M$292)/M$13),(M$293-M$292)/M$13)*N$13)</f>
        <v>3.0213104830803639</v>
      </c>
      <c r="O293" s="7">
        <f ca="1">SUM(O$292,IF(O$6=OFFSET(Assumptions!$B$8,0,$C$1),AVERAGE((L$293-L$292)/L$13,(M$293-M$292)/M$13,(N$293-N$292)/N$13),(N$293-N$292)/N$13)*O$13)</f>
        <v>3.1170487319732114</v>
      </c>
      <c r="P293" s="7">
        <f ca="1">SUM(P$292,IF(P$6=OFFSET(Assumptions!$B$8,0,$C$1),AVERAGE((M$293-M$292)/M$13,(N$293-N$292)/N$13,(O$293-O$292)/O$13),(O$293-O$292)/O$13)*P$13)</f>
        <v>3.2160380616577466</v>
      </c>
      <c r="Q293" s="7">
        <f ca="1">SUM(Q$292,IF(Q$6=OFFSET(Assumptions!$B$8,0,$C$1),AVERAGE((N$293-N$292)/N$13,(O$293-O$292)/O$13,(P$293-P$292)/P$13),(P$293-P$292)/P$13)*Q$13)</f>
        <v>3.3184361651809802</v>
      </c>
      <c r="R293" s="7">
        <f ca="1">SUM(R$292,IF(R$6=OFFSET(Assumptions!$B$8,0,$C$1),AVERAGE((O$293-O$292)/O$13,(P$293-P$292)/P$13,(Q$293-Q$292)/Q$13),(Q$293-Q$292)/Q$13)*R$13)</f>
        <v>3.4240668495044675</v>
      </c>
      <c r="S293" s="7">
        <f ca="1">SUM(S$292,IF(S$6=OFFSET(Assumptions!$B$8,0,$C$1),AVERAGE((P$293-P$292)/P$13,(Q$293-Q$292)/Q$13,(R$293-R$292)/R$13),(R$293-R$292)/R$13)*S$13)</f>
        <v>3.5332447127988376</v>
      </c>
      <c r="T293" s="7">
        <f ca="1">SUM(T$292,IF(T$6=OFFSET(Assumptions!$B$8,0,$C$1),AVERAGE((Q$293-Q$292)/Q$13,(R$293-R$292)/R$13,(S$293-S$292)/S$13),(S$293-S$292)/S$13)*T$13)</f>
        <v>3.6460691046346625</v>
      </c>
      <c r="U293" s="7">
        <f ca="1">SUM(U$292,IF(U$6=OFFSET(Assumptions!$B$8,0,$C$1),AVERAGE((R$293-R$292)/R$13,(S$293-S$292)/S$13,(T$293-T$292)/T$13),(T$293-T$292)/T$13)*U$13)</f>
        <v>3.7628810865298465</v>
      </c>
    </row>
    <row r="294" spans="1:21" ht="15" x14ac:dyDescent="0.25">
      <c r="A294" s="2"/>
      <c r="B294" s="4"/>
      <c r="D294" s="39"/>
      <c r="E294" s="39"/>
      <c r="F294" s="39"/>
      <c r="G294" s="38"/>
      <c r="H294" s="38"/>
      <c r="I294" s="38"/>
      <c r="J294" s="38"/>
      <c r="K294" s="38"/>
      <c r="L294" s="7"/>
      <c r="M294" s="7"/>
      <c r="N294" s="7"/>
      <c r="O294" s="7"/>
      <c r="P294" s="7"/>
      <c r="Q294" s="7"/>
      <c r="R294" s="7"/>
      <c r="S294" s="7"/>
      <c r="T294" s="7"/>
      <c r="U294" s="7"/>
    </row>
    <row r="295" spans="1:21" ht="15" x14ac:dyDescent="0.25">
      <c r="A295" s="18" t="s">
        <v>578</v>
      </c>
      <c r="B295" s="4"/>
      <c r="D295" s="39"/>
      <c r="E295" s="39"/>
      <c r="F295" s="39"/>
      <c r="G295" s="38"/>
      <c r="H295" s="38"/>
      <c r="I295" s="38"/>
      <c r="J295" s="38"/>
      <c r="K295" s="38"/>
      <c r="L295" s="7"/>
      <c r="M295" s="7"/>
      <c r="N295" s="7"/>
      <c r="O295" s="7"/>
      <c r="P295" s="7"/>
      <c r="Q295" s="7"/>
      <c r="R295" s="7"/>
      <c r="S295" s="7"/>
      <c r="T295" s="7"/>
      <c r="U295" s="7"/>
    </row>
    <row r="296" spans="1:21" ht="15" x14ac:dyDescent="0.25">
      <c r="A296" s="2" t="s">
        <v>531</v>
      </c>
      <c r="B296" s="4" t="str">
        <f t="shared" si="147"/>
        <v>From Fiscal</v>
      </c>
      <c r="D296" s="39">
        <f>'Fiscal Forecasts'!D$61</f>
        <v>0.66700000000000004</v>
      </c>
      <c r="E296" s="39">
        <f>'Fiscal Forecasts'!E$61</f>
        <v>0.749</v>
      </c>
      <c r="F296" s="39">
        <f>'Fiscal Forecasts'!F$61</f>
        <v>0.64400000000000002</v>
      </c>
      <c r="G296" s="38">
        <f>'Fiscal Forecasts'!G$61</f>
        <v>0.85099999999999998</v>
      </c>
      <c r="H296" s="38">
        <f>'Fiscal Forecasts'!H$61</f>
        <v>0.75600000000000001</v>
      </c>
      <c r="I296" s="38">
        <f>'Fiscal Forecasts'!I$61</f>
        <v>0.72299999999999998</v>
      </c>
      <c r="J296" s="38">
        <f>'Fiscal Forecasts'!J$61</f>
        <v>0.68200000000000005</v>
      </c>
      <c r="K296" s="38">
        <f>'Fiscal Forecasts'!K$61</f>
        <v>0.62</v>
      </c>
      <c r="L296" s="48">
        <f>K$296</f>
        <v>0.62</v>
      </c>
      <c r="M296" s="48">
        <f t="shared" ref="M296:U296" si="149">L$296</f>
        <v>0.62</v>
      </c>
      <c r="N296" s="48">
        <f t="shared" si="149"/>
        <v>0.62</v>
      </c>
      <c r="O296" s="48">
        <f t="shared" si="149"/>
        <v>0.62</v>
      </c>
      <c r="P296" s="48">
        <f t="shared" si="149"/>
        <v>0.62</v>
      </c>
      <c r="Q296" s="48">
        <f t="shared" si="149"/>
        <v>0.62</v>
      </c>
      <c r="R296" s="48">
        <f t="shared" si="149"/>
        <v>0.62</v>
      </c>
      <c r="S296" s="48">
        <f t="shared" si="149"/>
        <v>0.62</v>
      </c>
      <c r="T296" s="48">
        <f t="shared" si="149"/>
        <v>0.62</v>
      </c>
      <c r="U296" s="48">
        <f t="shared" si="149"/>
        <v>0.62</v>
      </c>
    </row>
    <row r="297" spans="1:21" ht="15" x14ac:dyDescent="0.25">
      <c r="A297" s="2" t="s">
        <v>532</v>
      </c>
      <c r="B297" s="4" t="str">
        <f t="shared" si="147"/>
        <v>From Fiscal</v>
      </c>
      <c r="D297" s="39">
        <f>'Fiscal Forecasts'!D$44</f>
        <v>1.74</v>
      </c>
      <c r="E297" s="39">
        <f>'Fiscal Forecasts'!E$44</f>
        <v>1.8520000000000001</v>
      </c>
      <c r="F297" s="39">
        <f>'Fiscal Forecasts'!F$44</f>
        <v>1.8859999999999999</v>
      </c>
      <c r="G297" s="38">
        <f>'Fiscal Forecasts'!G$44</f>
        <v>2.1800000000000002</v>
      </c>
      <c r="H297" s="38">
        <f>'Fiscal Forecasts'!H$44</f>
        <v>2.09</v>
      </c>
      <c r="I297" s="38">
        <f>'Fiscal Forecasts'!I$44</f>
        <v>2.0750000000000002</v>
      </c>
      <c r="J297" s="38">
        <f>'Fiscal Forecasts'!J$44</f>
        <v>2.0369999999999999</v>
      </c>
      <c r="K297" s="38">
        <f>'Fiscal Forecasts'!K$44</f>
        <v>1.958</v>
      </c>
      <c r="L297" s="7">
        <f ca="1">SUM(L$296,IF(L$6=OFFSET(Assumptions!$B$8,0,$C$1),AVERAGE((I$297-I$296)/I$13,(J$297-J$296)/J$13,(K$297-K$296)/K$13),(K$297-K$296)/K$13)*L$13)</f>
        <v>2.096828331627286</v>
      </c>
      <c r="M297" s="7">
        <f ca="1">SUM(M$296,IF(M$6=OFFSET(Assumptions!$B$8,0,$C$1),AVERAGE((J$297-J$296)/J$13,(K$297-K$296)/K$13,(L$297-L$296)/L$13),(L$297-L$296)/L$13)*M$13)</f>
        <v>2.1641656981572996</v>
      </c>
      <c r="N297" s="7">
        <f ca="1">SUM(N$296,IF(N$6=OFFSET(Assumptions!$B$8,0,$C$1),AVERAGE((K$297-K$296)/K$13,(L$297-L$296)/L$13,(M$297-M$296)/M$13),(M$297-M$296)/M$13)*N$13)</f>
        <v>2.2329711109951758</v>
      </c>
      <c r="O297" s="7">
        <f ca="1">SUM(O$296,IF(O$6=OFFSET(Assumptions!$B$8,0,$C$1),AVERAGE((L$297-L$296)/L$13,(M$297-M$296)/M$13,(N$297-N$296)/N$13),(N$297-N$296)/N$13)*O$13)</f>
        <v>2.3035383503679254</v>
      </c>
      <c r="P297" s="7">
        <f ca="1">SUM(P$296,IF(P$6=OFFSET(Assumptions!$B$8,0,$C$1),AVERAGE((M$297-M$296)/M$13,(N$297-N$296)/N$13,(O$297-O$296)/O$13),(O$297-O$296)/O$13)*P$13)</f>
        <v>2.3765019130398817</v>
      </c>
      <c r="Q297" s="7">
        <f ca="1">SUM(Q$296,IF(Q$6=OFFSET(Assumptions!$B$8,0,$C$1),AVERAGE((N$297-N$296)/N$13,(O$297-O$296)/O$13,(P$297-P$296)/P$13),(P$297-P$296)/P$13)*Q$13)</f>
        <v>2.4519780322106746</v>
      </c>
      <c r="R297" s="7">
        <f ca="1">SUM(R$296,IF(R$6=OFFSET(Assumptions!$B$8,0,$C$1),AVERAGE((O$297-O$296)/O$13,(P$297-P$296)/P$13,(Q$297-Q$296)/Q$13),(Q$297-Q$296)/Q$13)*R$13)</f>
        <v>2.5298368386121326</v>
      </c>
      <c r="S297" s="7">
        <f ca="1">SUM(S$296,IF(S$6=OFFSET(Assumptions!$B$8,0,$C$1),AVERAGE((P$297-P$296)/P$13,(Q$297-Q$296)/Q$13,(R$297-R$296)/R$13),(R$297-R$296)/R$13)*S$13)</f>
        <v>2.6103102178769029</v>
      </c>
      <c r="T297" s="7">
        <f ca="1">SUM(T$296,IF(T$6=OFFSET(Assumptions!$B$8,0,$C$1),AVERAGE((Q$297-Q$296)/Q$13,(R$297-R$296)/R$13,(S$297-S$296)/S$13),(S$297-S$296)/S$13)*T$13)</f>
        <v>2.6934713990958583</v>
      </c>
      <c r="U297" s="7">
        <f ca="1">SUM(U$296,IF(U$6=OFFSET(Assumptions!$B$8,0,$C$1),AVERAGE((R$297-R$296)/R$13,(S$297-S$296)/S$13,(T$297-T$296)/T$13),(T$297-T$296)/T$13)*U$13)</f>
        <v>2.7795717736413406</v>
      </c>
    </row>
    <row r="298" spans="1:21" ht="15" x14ac:dyDescent="0.25">
      <c r="A298" s="2"/>
      <c r="B298" s="4"/>
      <c r="D298" s="39"/>
      <c r="E298" s="39"/>
      <c r="F298" s="39"/>
      <c r="G298" s="38"/>
      <c r="H298" s="38"/>
      <c r="I298" s="38"/>
      <c r="J298" s="38"/>
      <c r="K298" s="38"/>
      <c r="L298" s="7"/>
      <c r="M298" s="7"/>
      <c r="N298" s="7"/>
      <c r="O298" s="7"/>
      <c r="P298" s="7"/>
      <c r="Q298" s="7"/>
      <c r="R298" s="7"/>
      <c r="S298" s="7"/>
      <c r="T298" s="7"/>
      <c r="U298" s="7"/>
    </row>
    <row r="299" spans="1:21" ht="15" x14ac:dyDescent="0.25">
      <c r="A299" s="18" t="s">
        <v>579</v>
      </c>
      <c r="B299" s="4"/>
      <c r="D299" s="39"/>
      <c r="E299" s="39"/>
      <c r="F299" s="39"/>
      <c r="G299" s="38"/>
      <c r="H299" s="38"/>
      <c r="I299" s="38"/>
      <c r="J299" s="38"/>
      <c r="K299" s="38"/>
      <c r="L299" s="7"/>
      <c r="M299" s="7"/>
      <c r="N299" s="7"/>
      <c r="O299" s="7"/>
      <c r="P299" s="7"/>
      <c r="Q299" s="7"/>
      <c r="R299" s="7"/>
      <c r="S299" s="7"/>
      <c r="T299" s="7"/>
      <c r="U299" s="7"/>
    </row>
    <row r="300" spans="1:21" ht="15" x14ac:dyDescent="0.25">
      <c r="A300" s="2" t="s">
        <v>533</v>
      </c>
      <c r="B300" s="4" t="str">
        <f t="shared" si="147"/>
        <v>From Fiscal</v>
      </c>
      <c r="D300" s="39">
        <f>'Fiscal Forecasts'!D$62</f>
        <v>0.32</v>
      </c>
      <c r="E300" s="39">
        <f>'Fiscal Forecasts'!E$62</f>
        <v>0.55800000000000005</v>
      </c>
      <c r="F300" s="39">
        <f>'Fiscal Forecasts'!F$62</f>
        <v>0.53900000000000003</v>
      </c>
      <c r="G300" s="38">
        <f>'Fiscal Forecasts'!G$62</f>
        <v>0.60199999999999998</v>
      </c>
      <c r="H300" s="38">
        <f>'Fiscal Forecasts'!H$62</f>
        <v>0.878</v>
      </c>
      <c r="I300" s="38">
        <f>'Fiscal Forecasts'!I$62</f>
        <v>0.60199999999999998</v>
      </c>
      <c r="J300" s="38">
        <f>'Fiscal Forecasts'!J$62</f>
        <v>0.61</v>
      </c>
      <c r="K300" s="38">
        <f>'Fiscal Forecasts'!K$62</f>
        <v>0.64200000000000002</v>
      </c>
      <c r="L300" s="48">
        <f>K$300</f>
        <v>0.64200000000000002</v>
      </c>
      <c r="M300" s="48">
        <f t="shared" ref="M300:U300" si="150">L$300</f>
        <v>0.64200000000000002</v>
      </c>
      <c r="N300" s="48">
        <f t="shared" si="150"/>
        <v>0.64200000000000002</v>
      </c>
      <c r="O300" s="48">
        <f t="shared" si="150"/>
        <v>0.64200000000000002</v>
      </c>
      <c r="P300" s="48">
        <f t="shared" si="150"/>
        <v>0.64200000000000002</v>
      </c>
      <c r="Q300" s="48">
        <f t="shared" si="150"/>
        <v>0.64200000000000002</v>
      </c>
      <c r="R300" s="48">
        <f t="shared" si="150"/>
        <v>0.64200000000000002</v>
      </c>
      <c r="S300" s="48">
        <f t="shared" si="150"/>
        <v>0.64200000000000002</v>
      </c>
      <c r="T300" s="48">
        <f t="shared" si="150"/>
        <v>0.64200000000000002</v>
      </c>
      <c r="U300" s="48">
        <f t="shared" si="150"/>
        <v>0.64200000000000002</v>
      </c>
    </row>
    <row r="301" spans="1:21" ht="15" x14ac:dyDescent="0.25">
      <c r="A301" s="2" t="s">
        <v>534</v>
      </c>
      <c r="B301" s="4" t="str">
        <f t="shared" si="147"/>
        <v>From Fiscal</v>
      </c>
      <c r="D301" s="39">
        <f>'Fiscal Forecasts'!D$45</f>
        <v>1.1140000000000001</v>
      </c>
      <c r="E301" s="39">
        <f>'Fiscal Forecasts'!E$45</f>
        <v>1.6</v>
      </c>
      <c r="F301" s="39">
        <f>'Fiscal Forecasts'!F$45</f>
        <v>1.82</v>
      </c>
      <c r="G301" s="38">
        <f>'Fiscal Forecasts'!G$45</f>
        <v>2.044</v>
      </c>
      <c r="H301" s="38">
        <f>'Fiscal Forecasts'!H$45</f>
        <v>2.3180000000000001</v>
      </c>
      <c r="I301" s="38">
        <f>'Fiscal Forecasts'!I$45</f>
        <v>2.149</v>
      </c>
      <c r="J301" s="38">
        <f>'Fiscal Forecasts'!J$45</f>
        <v>2.286</v>
      </c>
      <c r="K301" s="38">
        <f>'Fiscal Forecasts'!K$45</f>
        <v>2.2749999999999999</v>
      </c>
      <c r="L301" s="7">
        <f ca="1">SUM(L$300,IF(L$6=OFFSET(Assumptions!$B$8,0,$C$1),AVERAGE((I$301-I$300)/I$13,(J$301-J$300)/J$13,(K$301-K$300)/K$13),(K$301-K$300)/K$13)*L$13)</f>
        <v>2.4132252926683333</v>
      </c>
      <c r="M301" s="7">
        <f ca="1">SUM(M$300,IF(M$6=OFFSET(Assumptions!$B$8,0,$C$1),AVERAGE((J$301-J$300)/J$13,(K$301-K$300)/K$13,(L$301-L$300)/L$13),(L$301-L$300)/L$13)*M$13)</f>
        <v>2.4939859634825359</v>
      </c>
      <c r="N301" s="7">
        <f ca="1">SUM(N$300,IF(N$6=OFFSET(Assumptions!$B$8,0,$C$1),AVERAGE((K$301-K$300)/K$13,(L$301-L$300)/L$13,(M$301-M$300)/M$13),(M$301-M$300)/M$13)*N$13)</f>
        <v>2.5765073269213365</v>
      </c>
      <c r="O301" s="7">
        <f ca="1">SUM(O$300,IF(O$6=OFFSET(Assumptions!$B$8,0,$C$1),AVERAGE((L$301-L$300)/L$13,(M$301-M$300)/M$13,(N$301-N$300)/N$13),(N$301-N$300)/N$13)*O$13)</f>
        <v>2.6611417265560391</v>
      </c>
      <c r="P301" s="7">
        <f ca="1">SUM(P$300,IF(P$6=OFFSET(Assumptions!$B$8,0,$C$1),AVERAGE((M$301-M$300)/M$13,(N$301-N$300)/N$13,(O$301-O$300)/O$13),(O$301-O$300)/O$13)*P$13)</f>
        <v>2.748650142314395</v>
      </c>
      <c r="Q301" s="7">
        <f ca="1">SUM(Q$300,IF(Q$6=OFFSET(Assumptions!$B$8,0,$C$1),AVERAGE((N$301-N$300)/N$13,(O$301-O$300)/O$13,(P$301-P$300)/P$13),(P$301-P$300)/P$13)*Q$13)</f>
        <v>2.8391719777943885</v>
      </c>
      <c r="R301" s="7">
        <f ca="1">SUM(R$300,IF(R$6=OFFSET(Assumptions!$B$8,0,$C$1),AVERAGE((O$301-O$300)/O$13,(P$301-P$300)/P$13,(Q$301-Q$300)/Q$13),(Q$301-Q$300)/Q$13)*R$13)</f>
        <v>2.9325514750601775</v>
      </c>
      <c r="S301" s="7">
        <f ca="1">SUM(S$300,IF(S$6=OFFSET(Assumptions!$B$8,0,$C$1),AVERAGE((P$301-P$300)/P$13,(Q$301-Q$300)/Q$13,(R$301-R$300)/R$13),(R$301-R$300)/R$13)*S$13)</f>
        <v>3.0290667447687394</v>
      </c>
      <c r="T301" s="7">
        <f ca="1">SUM(T$300,IF(T$6=OFFSET(Assumptions!$B$8,0,$C$1),AVERAGE((Q$301-Q$300)/Q$13,(R$301-R$300)/R$13,(S$301-S$300)/S$13),(S$301-S$300)/S$13)*T$13)</f>
        <v>3.128805613795504</v>
      </c>
      <c r="U301" s="7">
        <f ca="1">SUM(U$300,IF(U$6=OFFSET(Assumptions!$B$8,0,$C$1),AVERAGE((R$301-R$300)/R$13,(S$301-S$300)/S$13,(T$301-T$300)/T$13),(T$301-T$300)/T$13)*U$13)</f>
        <v>3.2320695868905589</v>
      </c>
    </row>
    <row r="302" spans="1:21" ht="15" x14ac:dyDescent="0.25">
      <c r="A302" s="2"/>
      <c r="B302" s="4"/>
      <c r="D302" s="39"/>
      <c r="E302" s="39"/>
      <c r="F302" s="39"/>
      <c r="G302" s="38"/>
      <c r="H302" s="38"/>
      <c r="I302" s="38"/>
      <c r="J302" s="38"/>
      <c r="K302" s="38"/>
      <c r="L302" s="7"/>
      <c r="M302" s="7"/>
      <c r="N302" s="7"/>
      <c r="O302" s="7"/>
      <c r="P302" s="7"/>
      <c r="Q302" s="7"/>
      <c r="R302" s="7"/>
      <c r="S302" s="7"/>
      <c r="T302" s="7"/>
      <c r="U302" s="7"/>
    </row>
    <row r="303" spans="1:21" ht="15" x14ac:dyDescent="0.25">
      <c r="A303" s="18" t="s">
        <v>580</v>
      </c>
      <c r="B303" s="4"/>
      <c r="D303" s="39"/>
      <c r="E303" s="39"/>
      <c r="F303" s="39"/>
      <c r="G303" s="38"/>
      <c r="H303" s="38"/>
      <c r="I303" s="38"/>
      <c r="J303" s="38"/>
      <c r="K303" s="38"/>
      <c r="L303" s="7"/>
      <c r="M303" s="7"/>
      <c r="N303" s="7"/>
      <c r="O303" s="7"/>
      <c r="P303" s="7"/>
      <c r="Q303" s="7"/>
      <c r="R303" s="7"/>
      <c r="S303" s="7"/>
      <c r="T303" s="7"/>
      <c r="U303" s="7"/>
    </row>
    <row r="304" spans="1:21" x14ac:dyDescent="0.2">
      <c r="A304" s="1" t="s">
        <v>1262</v>
      </c>
      <c r="B304" s="4" t="str">
        <f t="shared" si="147"/>
        <v>From Fiscal</v>
      </c>
      <c r="D304" s="49">
        <f>'Fiscal Forecasts'!D$358</f>
        <v>0.13300000000000001</v>
      </c>
      <c r="E304" s="49">
        <f>'Fiscal Forecasts'!E$358</f>
        <v>0.16300000000000001</v>
      </c>
      <c r="F304" s="49">
        <f>'Fiscal Forecasts'!F$358</f>
        <v>0.29499999999999998</v>
      </c>
      <c r="G304" s="15">
        <f>'Fiscal Forecasts'!G$358</f>
        <v>0.78700000000000003</v>
      </c>
      <c r="H304" s="15">
        <f>'Fiscal Forecasts'!H$358</f>
        <v>0.51800000000000002</v>
      </c>
      <c r="I304" s="15">
        <f>'Fiscal Forecasts'!I$358</f>
        <v>0.54200000000000004</v>
      </c>
      <c r="J304" s="15">
        <f>'Fiscal Forecasts'!J$358</f>
        <v>0.54200000000000004</v>
      </c>
      <c r="K304" s="15">
        <f>'Fiscal Forecasts'!K$358</f>
        <v>0.54200000000000004</v>
      </c>
      <c r="L304" s="6">
        <f t="shared" ref="L304:U304" ca="1" si="151">K$304*(1+L$14)</f>
        <v>0.56741835609287561</v>
      </c>
      <c r="M304" s="6">
        <f t="shared" ca="1" si="151"/>
        <v>0.59329032577399821</v>
      </c>
      <c r="N304" s="6">
        <f t="shared" ca="1" si="151"/>
        <v>0.61972633963333446</v>
      </c>
      <c r="O304" s="6">
        <f t="shared" ca="1" si="151"/>
        <v>0.64683927219386939</v>
      </c>
      <c r="P304" s="6">
        <f t="shared" ca="1" si="151"/>
        <v>0.67487290609658723</v>
      </c>
      <c r="Q304" s="6">
        <f t="shared" ca="1" si="151"/>
        <v>0.70387189978258446</v>
      </c>
      <c r="R304" s="6">
        <f t="shared" ca="1" si="151"/>
        <v>0.73378635564015149</v>
      </c>
      <c r="S304" s="6">
        <f t="shared" ca="1" si="151"/>
        <v>0.76470536741272543</v>
      </c>
      <c r="T304" s="6">
        <f t="shared" ca="1" si="151"/>
        <v>0.79665707075390335</v>
      </c>
      <c r="U304" s="6">
        <f t="shared" ca="1" si="151"/>
        <v>0.82973805378850296</v>
      </c>
    </row>
    <row r="305" spans="1:21" x14ac:dyDescent="0.2">
      <c r="A305" s="1" t="s">
        <v>1263</v>
      </c>
      <c r="B305" s="4" t="str">
        <f t="shared" si="147"/>
        <v>From Fiscal</v>
      </c>
      <c r="D305" s="14">
        <f>'Fiscal Forecasts'!D$63-D$304</f>
        <v>0.59</v>
      </c>
      <c r="E305" s="14">
        <f>'Fiscal Forecasts'!E$63-E$304</f>
        <v>0.42399999999999993</v>
      </c>
      <c r="F305" s="14">
        <f>'Fiscal Forecasts'!F$63-F$304</f>
        <v>0.57600000000000007</v>
      </c>
      <c r="G305" s="15">
        <f>'Fiscal Forecasts'!G$63-G$304</f>
        <v>0.49999999999999989</v>
      </c>
      <c r="H305" s="15">
        <f>'Fiscal Forecasts'!H$63-H$304</f>
        <v>0.54</v>
      </c>
      <c r="I305" s="15">
        <f>'Fiscal Forecasts'!I$63-I$304</f>
        <v>0.55899999999999994</v>
      </c>
      <c r="J305" s="15">
        <f>'Fiscal Forecasts'!J$63-J$304</f>
        <v>0.56800000000000006</v>
      </c>
      <c r="K305" s="15">
        <f>'Fiscal Forecasts'!K$63-K$304</f>
        <v>0.56600000000000006</v>
      </c>
      <c r="L305" s="6">
        <f>K$305</f>
        <v>0.56600000000000006</v>
      </c>
      <c r="M305" s="6">
        <f t="shared" ref="M305:U305" si="152">L$305</f>
        <v>0.56600000000000006</v>
      </c>
      <c r="N305" s="6">
        <f t="shared" si="152"/>
        <v>0.56600000000000006</v>
      </c>
      <c r="O305" s="6">
        <f t="shared" si="152"/>
        <v>0.56600000000000006</v>
      </c>
      <c r="P305" s="6">
        <f t="shared" si="152"/>
        <v>0.56600000000000006</v>
      </c>
      <c r="Q305" s="6">
        <f t="shared" si="152"/>
        <v>0.56600000000000006</v>
      </c>
      <c r="R305" s="6">
        <f t="shared" si="152"/>
        <v>0.56600000000000006</v>
      </c>
      <c r="S305" s="6">
        <f t="shared" si="152"/>
        <v>0.56600000000000006</v>
      </c>
      <c r="T305" s="6">
        <f t="shared" si="152"/>
        <v>0.56600000000000006</v>
      </c>
      <c r="U305" s="6">
        <f t="shared" si="152"/>
        <v>0.56600000000000006</v>
      </c>
    </row>
    <row r="306" spans="1:21" ht="15" x14ac:dyDescent="0.25">
      <c r="A306" s="2" t="s">
        <v>535</v>
      </c>
      <c r="B306" s="4"/>
      <c r="D306" s="34">
        <f>SUM(D$304:D$305)</f>
        <v>0.72299999999999998</v>
      </c>
      <c r="E306" s="34">
        <f t="shared" ref="E306:U306" si="153">SUM(E$304:E$305)</f>
        <v>0.58699999999999997</v>
      </c>
      <c r="F306" s="34">
        <f t="shared" si="153"/>
        <v>0.871</v>
      </c>
      <c r="G306" s="33">
        <f t="shared" si="153"/>
        <v>1.2869999999999999</v>
      </c>
      <c r="H306" s="33">
        <f t="shared" si="153"/>
        <v>1.0580000000000001</v>
      </c>
      <c r="I306" s="33">
        <f t="shared" si="153"/>
        <v>1.101</v>
      </c>
      <c r="J306" s="33">
        <f t="shared" si="153"/>
        <v>1.1100000000000001</v>
      </c>
      <c r="K306" s="33">
        <f t="shared" si="153"/>
        <v>1.1080000000000001</v>
      </c>
      <c r="L306" s="37">
        <f t="shared" ca="1" si="153"/>
        <v>1.1334183560928757</v>
      </c>
      <c r="M306" s="37">
        <f t="shared" ca="1" si="153"/>
        <v>1.1592903257739984</v>
      </c>
      <c r="N306" s="37">
        <f t="shared" ca="1" si="153"/>
        <v>1.1857263396333346</v>
      </c>
      <c r="O306" s="37">
        <f t="shared" ca="1" si="153"/>
        <v>1.2128392721938694</v>
      </c>
      <c r="P306" s="37">
        <f t="shared" ca="1" si="153"/>
        <v>1.2408729060965873</v>
      </c>
      <c r="Q306" s="37">
        <f t="shared" ca="1" si="153"/>
        <v>1.2698718997825846</v>
      </c>
      <c r="R306" s="37">
        <f t="shared" ca="1" si="153"/>
        <v>1.2997863556401517</v>
      </c>
      <c r="S306" s="37">
        <f t="shared" ca="1" si="153"/>
        <v>1.3307053674127256</v>
      </c>
      <c r="T306" s="37">
        <f t="shared" ca="1" si="153"/>
        <v>1.3626570707539034</v>
      </c>
      <c r="U306" s="37">
        <f t="shared" ca="1" si="153"/>
        <v>1.3957380537885031</v>
      </c>
    </row>
    <row r="307" spans="1:21" ht="15" x14ac:dyDescent="0.25">
      <c r="A307" s="2" t="s">
        <v>536</v>
      </c>
      <c r="B307" s="4" t="str">
        <f t="shared" si="147"/>
        <v>From Fiscal</v>
      </c>
      <c r="D307" s="39">
        <f>'Fiscal Forecasts'!D$46</f>
        <v>0.61599999999999999</v>
      </c>
      <c r="E307" s="39">
        <f>'Fiscal Forecasts'!E$46</f>
        <v>0.57999999999999996</v>
      </c>
      <c r="F307" s="39">
        <f>'Fiscal Forecasts'!F$46</f>
        <v>0.86299999999999999</v>
      </c>
      <c r="G307" s="38">
        <f>'Fiscal Forecasts'!G$46</f>
        <v>1.286</v>
      </c>
      <c r="H307" s="38">
        <f>'Fiscal Forecasts'!H$46</f>
        <v>1.0569999999999999</v>
      </c>
      <c r="I307" s="38">
        <f>'Fiscal Forecasts'!I$46</f>
        <v>1.1000000000000001</v>
      </c>
      <c r="J307" s="38">
        <f>'Fiscal Forecasts'!J$46</f>
        <v>1.109</v>
      </c>
      <c r="K307" s="38">
        <f>'Fiscal Forecasts'!K$46</f>
        <v>1.1080000000000001</v>
      </c>
      <c r="L307" s="7">
        <f ca="1">L$306</f>
        <v>1.1334183560928757</v>
      </c>
      <c r="M307" s="7">
        <f t="shared" ref="M307:U307" ca="1" si="154">M$306</f>
        <v>1.1592903257739984</v>
      </c>
      <c r="N307" s="7">
        <f t="shared" ca="1" si="154"/>
        <v>1.1857263396333346</v>
      </c>
      <c r="O307" s="7">
        <f t="shared" ca="1" si="154"/>
        <v>1.2128392721938694</v>
      </c>
      <c r="P307" s="7">
        <f t="shared" ca="1" si="154"/>
        <v>1.2408729060965873</v>
      </c>
      <c r="Q307" s="7">
        <f t="shared" ca="1" si="154"/>
        <v>1.2698718997825846</v>
      </c>
      <c r="R307" s="7">
        <f t="shared" ca="1" si="154"/>
        <v>1.2997863556401517</v>
      </c>
      <c r="S307" s="7">
        <f t="shared" ca="1" si="154"/>
        <v>1.3307053674127256</v>
      </c>
      <c r="T307" s="7">
        <f t="shared" ca="1" si="154"/>
        <v>1.3626570707539034</v>
      </c>
      <c r="U307" s="7">
        <f t="shared" ca="1" si="154"/>
        <v>1.3957380537885031</v>
      </c>
    </row>
    <row r="308" spans="1:21" ht="15" x14ac:dyDescent="0.25">
      <c r="A308" s="2"/>
      <c r="B308" s="4"/>
      <c r="D308" s="39"/>
      <c r="E308" s="39"/>
      <c r="F308" s="39"/>
      <c r="G308" s="38"/>
      <c r="H308" s="38"/>
      <c r="I308" s="38"/>
      <c r="J308" s="38"/>
      <c r="K308" s="38"/>
      <c r="L308" s="7"/>
      <c r="M308" s="7"/>
      <c r="N308" s="7"/>
      <c r="O308" s="7"/>
      <c r="P308" s="7"/>
      <c r="Q308" s="7"/>
      <c r="R308" s="7"/>
      <c r="S308" s="7"/>
      <c r="T308" s="7"/>
      <c r="U308" s="7"/>
    </row>
    <row r="309" spans="1:21" ht="15" x14ac:dyDescent="0.25">
      <c r="A309" s="18" t="s">
        <v>581</v>
      </c>
      <c r="B309" s="4"/>
      <c r="D309" s="39"/>
      <c r="E309" s="39"/>
      <c r="F309" s="39"/>
      <c r="G309" s="38"/>
      <c r="H309" s="38"/>
      <c r="I309" s="38"/>
      <c r="J309" s="38"/>
      <c r="K309" s="38"/>
      <c r="L309" s="7"/>
      <c r="M309" s="7"/>
      <c r="N309" s="7"/>
      <c r="O309" s="7"/>
      <c r="P309" s="7"/>
      <c r="Q309" s="7"/>
      <c r="R309" s="7"/>
      <c r="S309" s="7"/>
      <c r="T309" s="7"/>
      <c r="U309" s="7"/>
    </row>
    <row r="310" spans="1:21" ht="15" x14ac:dyDescent="0.25">
      <c r="A310" s="2" t="s">
        <v>537</v>
      </c>
      <c r="B310" s="4" t="str">
        <f t="shared" si="147"/>
        <v>From Fiscal</v>
      </c>
      <c r="D310" s="39">
        <f>'Fiscal Forecasts'!D$65</f>
        <v>0.14499999999999999</v>
      </c>
      <c r="E310" s="39">
        <f>'Fiscal Forecasts'!E$65</f>
        <v>0.46100000000000002</v>
      </c>
      <c r="F310" s="39">
        <f>'Fiscal Forecasts'!F$65</f>
        <v>0.18099999999999999</v>
      </c>
      <c r="G310" s="38">
        <f>'Fiscal Forecasts'!G$65</f>
        <v>0.34</v>
      </c>
      <c r="H310" s="38">
        <f>'Fiscal Forecasts'!H$65</f>
        <v>0.55200000000000005</v>
      </c>
      <c r="I310" s="38">
        <f>'Fiscal Forecasts'!I$65</f>
        <v>0.35199999999999998</v>
      </c>
      <c r="J310" s="38">
        <f>'Fiscal Forecasts'!J$65</f>
        <v>0.34399999999999997</v>
      </c>
      <c r="K310" s="38">
        <f>'Fiscal Forecasts'!K$65</f>
        <v>0.34399999999999997</v>
      </c>
      <c r="L310" s="7">
        <f ca="1">IF(L$6=OFFSET(Assumptions!$B$8,0,$C$1),0,K$310)</f>
        <v>0</v>
      </c>
      <c r="M310" s="7">
        <f ca="1">IF(M$6=OFFSET(Assumptions!$B$8,0,$C$1),0,L$310)</f>
        <v>0</v>
      </c>
      <c r="N310" s="7">
        <f ca="1">IF(N$6=OFFSET(Assumptions!$B$8,0,$C$1),0,M$310)</f>
        <v>0</v>
      </c>
      <c r="O310" s="7">
        <f ca="1">IF(O$6=OFFSET(Assumptions!$B$8,0,$C$1),0,N$310)</f>
        <v>0</v>
      </c>
      <c r="P310" s="7">
        <f ca="1">IF(P$6=OFFSET(Assumptions!$B$8,0,$C$1),0,O$310)</f>
        <v>0</v>
      </c>
      <c r="Q310" s="7">
        <f ca="1">IF(Q$6=OFFSET(Assumptions!$B$8,0,$C$1),0,P$310)</f>
        <v>0</v>
      </c>
      <c r="R310" s="7">
        <f ca="1">IF(R$6=OFFSET(Assumptions!$B$8,0,$C$1),0,Q$310)</f>
        <v>0</v>
      </c>
      <c r="S310" s="7">
        <f ca="1">IF(S$6=OFFSET(Assumptions!$B$8,0,$C$1),0,R$310)</f>
        <v>0</v>
      </c>
      <c r="T310" s="7">
        <f ca="1">IF(T$6=OFFSET(Assumptions!$B$8,0,$C$1),0,S$310)</f>
        <v>0</v>
      </c>
      <c r="U310" s="7">
        <f ca="1">IF(U$6=OFFSET(Assumptions!$B$8,0,$C$1),0,T$310)</f>
        <v>0</v>
      </c>
    </row>
    <row r="311" spans="1:21" ht="15" x14ac:dyDescent="0.25">
      <c r="A311" s="2" t="s">
        <v>538</v>
      </c>
      <c r="B311" s="4" t="str">
        <f t="shared" si="147"/>
        <v>From Fiscal</v>
      </c>
      <c r="D311" s="39">
        <f>'Fiscal Forecasts'!D$48</f>
        <v>0.14499999999999999</v>
      </c>
      <c r="E311" s="39">
        <f>'Fiscal Forecasts'!E$48</f>
        <v>0.46100000000000002</v>
      </c>
      <c r="F311" s="39">
        <f>'Fiscal Forecasts'!F$48</f>
        <v>0.18099999999999999</v>
      </c>
      <c r="G311" s="38">
        <f>'Fiscal Forecasts'!G$48</f>
        <v>0.34</v>
      </c>
      <c r="H311" s="38">
        <f>'Fiscal Forecasts'!H$48</f>
        <v>0.55200000000000005</v>
      </c>
      <c r="I311" s="38">
        <f>'Fiscal Forecasts'!I$48</f>
        <v>0.35199999999999998</v>
      </c>
      <c r="J311" s="38">
        <f>'Fiscal Forecasts'!J$48</f>
        <v>0.34399999999999997</v>
      </c>
      <c r="K311" s="38">
        <f>'Fiscal Forecasts'!K$48</f>
        <v>0.34399999999999997</v>
      </c>
      <c r="L311" s="7">
        <f ca="1">IF(L$6=OFFSET(Assumptions!$B$8,0,$C$1),0,K$311)</f>
        <v>0</v>
      </c>
      <c r="M311" s="7">
        <f ca="1">IF(M$6=OFFSET(Assumptions!$B$8,0,$C$1),0,L$311)</f>
        <v>0</v>
      </c>
      <c r="N311" s="7">
        <f ca="1">IF(N$6=OFFSET(Assumptions!$B$8,0,$C$1),0,M$311)</f>
        <v>0</v>
      </c>
      <c r="O311" s="7">
        <f ca="1">IF(O$6=OFFSET(Assumptions!$B$8,0,$C$1),0,N$311)</f>
        <v>0</v>
      </c>
      <c r="P311" s="7">
        <f ca="1">IF(P$6=OFFSET(Assumptions!$B$8,0,$C$1),0,O$311)</f>
        <v>0</v>
      </c>
      <c r="Q311" s="7">
        <f ca="1">IF(Q$6=OFFSET(Assumptions!$B$8,0,$C$1),0,P$311)</f>
        <v>0</v>
      </c>
      <c r="R311" s="7">
        <f ca="1">IF(R$6=OFFSET(Assumptions!$B$8,0,$C$1),0,Q$311)</f>
        <v>0</v>
      </c>
      <c r="S311" s="7">
        <f ca="1">IF(S$6=OFFSET(Assumptions!$B$8,0,$C$1),0,R$311)</f>
        <v>0</v>
      </c>
      <c r="T311" s="7">
        <f ca="1">IF(T$6=OFFSET(Assumptions!$B$8,0,$C$1),0,S$311)</f>
        <v>0</v>
      </c>
      <c r="U311" s="7">
        <f ca="1">IF(U$6=OFFSET(Assumptions!$B$8,0,$C$1),0,T$311)</f>
        <v>0</v>
      </c>
    </row>
    <row r="312" spans="1:21" ht="15" x14ac:dyDescent="0.25">
      <c r="A312" s="2"/>
      <c r="B312" s="4"/>
      <c r="D312" s="39"/>
      <c r="E312" s="39"/>
      <c r="F312" s="39"/>
      <c r="G312" s="38"/>
      <c r="H312" s="38"/>
      <c r="I312" s="38"/>
      <c r="J312" s="38"/>
      <c r="K312" s="38"/>
      <c r="L312" s="7"/>
      <c r="M312" s="7"/>
      <c r="N312" s="7"/>
      <c r="O312" s="7"/>
      <c r="P312" s="7"/>
      <c r="Q312" s="7"/>
      <c r="R312" s="7"/>
      <c r="S312" s="7"/>
      <c r="T312" s="7"/>
      <c r="U312" s="7"/>
    </row>
    <row r="313" spans="1:21" ht="15" x14ac:dyDescent="0.25">
      <c r="A313" s="18" t="s">
        <v>1219</v>
      </c>
      <c r="B313" s="4"/>
      <c r="D313" s="39"/>
      <c r="E313" s="39"/>
      <c r="F313" s="39"/>
      <c r="G313" s="38"/>
      <c r="H313" s="38"/>
      <c r="I313" s="38"/>
      <c r="J313" s="38"/>
      <c r="K313" s="38"/>
      <c r="L313" s="7"/>
      <c r="M313" s="7"/>
      <c r="N313" s="7"/>
      <c r="O313" s="7"/>
      <c r="P313" s="7"/>
      <c r="Q313" s="7"/>
      <c r="R313" s="7"/>
      <c r="S313" s="7"/>
      <c r="T313" s="7"/>
      <c r="U313" s="7"/>
    </row>
    <row r="314" spans="1:21" ht="15" x14ac:dyDescent="0.25">
      <c r="A314" s="2" t="s">
        <v>1220</v>
      </c>
      <c r="B314" s="4"/>
      <c r="D314" s="39">
        <f t="shared" ref="D314:U314" si="155">SUM(D$184,D$247,D$255,D$265,D$270,D$274,D$287,D$292,D$296,D$300,D$306)</f>
        <v>40.115000000000002</v>
      </c>
      <c r="E314" s="39">
        <f t="shared" si="155"/>
        <v>41.5</v>
      </c>
      <c r="F314" s="39">
        <f t="shared" si="155"/>
        <v>43.639000000000003</v>
      </c>
      <c r="G314" s="38">
        <f t="shared" si="155"/>
        <v>47.581999999999987</v>
      </c>
      <c r="H314" s="38">
        <f t="shared" si="155"/>
        <v>49.643000000000008</v>
      </c>
      <c r="I314" s="38">
        <f t="shared" si="155"/>
        <v>49.05</v>
      </c>
      <c r="J314" s="38">
        <f t="shared" si="155"/>
        <v>49.241</v>
      </c>
      <c r="K314" s="38">
        <f t="shared" si="155"/>
        <v>49.18099999999999</v>
      </c>
      <c r="L314" s="48">
        <f t="shared" ca="1" si="155"/>
        <v>49.206418356092868</v>
      </c>
      <c r="M314" s="48">
        <f t="shared" ca="1" si="155"/>
        <v>49.232290325773988</v>
      </c>
      <c r="N314" s="48">
        <f t="shared" ca="1" si="155"/>
        <v>49.258726339633327</v>
      </c>
      <c r="O314" s="48">
        <f t="shared" ca="1" si="155"/>
        <v>49.285839272193861</v>
      </c>
      <c r="P314" s="48">
        <f t="shared" ca="1" si="155"/>
        <v>49.313872906096577</v>
      </c>
      <c r="Q314" s="48">
        <f t="shared" ca="1" si="155"/>
        <v>49.34287189978258</v>
      </c>
      <c r="R314" s="48">
        <f t="shared" ca="1" si="155"/>
        <v>49.372786355640145</v>
      </c>
      <c r="S314" s="48">
        <f t="shared" ca="1" si="155"/>
        <v>49.403705367412719</v>
      </c>
      <c r="T314" s="48">
        <f t="shared" ca="1" si="155"/>
        <v>49.435657070753898</v>
      </c>
      <c r="U314" s="48">
        <f t="shared" ca="1" si="155"/>
        <v>49.468738053788499</v>
      </c>
    </row>
    <row r="315" spans="1:21" ht="15" x14ac:dyDescent="0.25">
      <c r="A315" s="2" t="s">
        <v>1313</v>
      </c>
      <c r="B315" s="4"/>
      <c r="D315" s="39">
        <f>SUM(D$247,D$254,D$255,D$262,D$264,D$278,D$310)</f>
        <v>30.933000000000003</v>
      </c>
      <c r="E315" s="39">
        <f>SUM(E$247,E$254,E$255,E$262,E$264,E$278,E$310)</f>
        <v>31.755000000000003</v>
      </c>
      <c r="F315" s="39">
        <f>SUM(F$247,F$254,F$255,F$262,F$264,F$278,F$310)</f>
        <v>32.116</v>
      </c>
      <c r="G315" s="38">
        <f t="shared" ref="G315:U315" si="156">SUM(G$247,G$254,G$255,G$262,G$264,G$278,G$310)</f>
        <v>34.286999999999999</v>
      </c>
      <c r="H315" s="38">
        <f t="shared" si="156"/>
        <v>36.212000000000003</v>
      </c>
      <c r="I315" s="38">
        <f t="shared" si="156"/>
        <v>36.052000000000007</v>
      </c>
      <c r="J315" s="38">
        <f t="shared" si="156"/>
        <v>36.628000000000007</v>
      </c>
      <c r="K315" s="38">
        <f t="shared" si="156"/>
        <v>36.51</v>
      </c>
      <c r="L315" s="48">
        <f t="shared" ca="1" si="156"/>
        <v>36.713907844190359</v>
      </c>
      <c r="M315" s="48">
        <f t="shared" ca="1" si="156"/>
        <v>37.194873353597451</v>
      </c>
      <c r="N315" s="48">
        <f t="shared" ca="1" si="156"/>
        <v>37.436512608657907</v>
      </c>
      <c r="O315" s="48">
        <f t="shared" ca="1" si="156"/>
        <v>37.685340368855336</v>
      </c>
      <c r="P315" s="48">
        <f t="shared" ca="1" si="156"/>
        <v>37.945110405629087</v>
      </c>
      <c r="Q315" s="48">
        <f t="shared" ca="1" si="156"/>
        <v>38.206528972380319</v>
      </c>
      <c r="R315" s="48">
        <f t="shared" ca="1" si="156"/>
        <v>38.473560394065835</v>
      </c>
      <c r="S315" s="48">
        <f t="shared" ca="1" si="156"/>
        <v>38.747415403018998</v>
      </c>
      <c r="T315" s="48">
        <f t="shared" ca="1" si="156"/>
        <v>39.029439609053547</v>
      </c>
      <c r="U315" s="48">
        <f t="shared" ca="1" si="156"/>
        <v>39.319366544479813</v>
      </c>
    </row>
    <row r="316" spans="1:21" ht="15" x14ac:dyDescent="0.25">
      <c r="A316" s="18" t="s">
        <v>539</v>
      </c>
      <c r="B316" s="4"/>
      <c r="D316" s="39"/>
      <c r="E316" s="39"/>
      <c r="F316" s="39"/>
      <c r="G316" s="38"/>
      <c r="H316" s="38"/>
      <c r="I316" s="38"/>
      <c r="J316" s="38"/>
      <c r="K316" s="38"/>
      <c r="L316" s="7"/>
      <c r="M316" s="7"/>
      <c r="N316" s="7"/>
      <c r="O316" s="7"/>
      <c r="P316" s="7"/>
      <c r="Q316" s="7"/>
      <c r="R316" s="7"/>
      <c r="S316" s="7"/>
      <c r="T316" s="7"/>
      <c r="U316" s="7"/>
    </row>
    <row r="317" spans="1:21" ht="15" x14ac:dyDescent="0.25">
      <c r="A317" s="2" t="s">
        <v>1198</v>
      </c>
      <c r="B317" s="4" t="str">
        <f t="shared" si="147"/>
        <v>From Fiscal</v>
      </c>
      <c r="D317" s="39">
        <f>'Fiscal Forecasts'!D$197</f>
        <v>4.8250000000000002</v>
      </c>
      <c r="E317" s="39">
        <f>'Fiscal Forecasts'!E$197</f>
        <v>5.6840000000000002</v>
      </c>
      <c r="F317" s="39">
        <f>'Fiscal Forecasts'!F$197</f>
        <v>6.4420000000000002</v>
      </c>
      <c r="G317" s="38">
        <f>'Fiscal Forecasts'!G$197</f>
        <v>6.4039999999999999</v>
      </c>
      <c r="H317" s="38">
        <f>'Fiscal Forecasts'!H$197</f>
        <v>6.54</v>
      </c>
      <c r="I317" s="38">
        <f>'Fiscal Forecasts'!I$197</f>
        <v>6.7389999999999999</v>
      </c>
      <c r="J317" s="38">
        <f>'Fiscal Forecasts'!J$197</f>
        <v>7.04</v>
      </c>
      <c r="K317" s="38">
        <f>'Fiscal Forecasts'!K$197</f>
        <v>6.9370000000000003</v>
      </c>
      <c r="L317" s="7">
        <f ca="1">IF(L$6=OFFSET(Assumptions!$B$8,0,$C$1),AVERAGE(I$317/SUM(I$244-I$243,I$267-I$266,I$271-I$270,I$275-I$274,I$293-I$292,I$297-I$296,I$301-I$300,I$307-I$306),J$317/SUM(J$244-J$243,J$267-J$266,J$271-J$270,J$275-J$274,J$293-J$292,J$297-J$296,J$301-J$300,J$307-J$306),K$317/SUM(K$244-K$243,K$267-K$266,K$271-K$270,K$275-K$274,K$293-K$292,K$297-K$296,K$301-K$300,K$307-K$306)),K$317/SUM(K$244-K$243,K$267-K$266,K$271-K$270,K$275-K$274,K$293-K$292,K$297-K$296,K$301-K$300,K$307-K$306))*SUM(L$244-L$243,L$267-L$266,L$271-L$270,L$275-L$274,L$293-L$292,L$297-L$296,L$301-L$300,L$307-L$306)</f>
        <v>7.5451160797426873</v>
      </c>
      <c r="M317" s="7">
        <f ca="1">IF(M$6=OFFSET(Assumptions!$B$8,0,$C$1),AVERAGE(J$317/SUM(J$244-J$243,J$267-J$266,J$271-J$270,J$275-J$274,J$293-J$292,J$297-J$296,J$301-J$300,J$307-J$306),K$317/SUM(K$244-K$243,K$267-K$266,K$271-K$270,K$275-K$274,K$293-K$292,K$297-K$296,K$301-K$300,K$307-K$306),L$317/SUM(L$244-L$243,L$267-L$266,L$271-L$270,L$275-L$274,L$293-L$292,L$297-L$296,L$301-L$300,L$307-L$306)),L$317/SUM(L$244-L$243,L$267-L$266,L$271-L$270,L$275-L$274,L$293-L$292,L$297-L$296,L$301-L$300,L$307-L$306))*SUM(M$244-M$243,M$267-M$266,M$271-M$270,M$275-M$274,M$293-M$292,M$297-M$296,M$301-M$300,M$307-M$306)</f>
        <v>7.8739823487010714</v>
      </c>
      <c r="N317" s="7">
        <f ca="1">IF(N$6=OFFSET(Assumptions!$B$8,0,$C$1),AVERAGE(K$317/SUM(K$244-K$243,K$267-K$266,K$271-K$270,K$275-K$274,K$293-K$292,K$297-K$296,K$301-K$300,K$307-K$306),L$317/SUM(L$244-L$243,L$267-L$266,L$271-L$270,L$275-L$274,L$293-L$292,L$297-L$296,L$301-L$300,L$307-L$306),M$317/SUM(M$244-M$243,M$267-M$266,M$271-M$270,M$275-M$274,M$293-M$292,M$297-M$296,M$301-M$300,M$307-M$306)),M$317/SUM(M$244-M$243,M$267-M$266,M$271-M$270,M$275-M$274,M$293-M$292,M$297-M$296,M$301-M$300,M$307-M$306))*SUM(N$244-N$243,N$267-N$266,N$271-N$270,N$275-N$274,N$293-N$292,N$297-N$296,N$301-N$300,N$307-N$306)</f>
        <v>8.2099723104976565</v>
      </c>
      <c r="O317" s="7">
        <f ca="1">IF(O$6=OFFSET(Assumptions!$B$8,0,$C$1),AVERAGE(L$317/SUM(L$244-L$243,L$267-L$266,L$271-L$270,L$275-L$274,L$293-L$292,L$297-L$296,L$301-L$300,L$307-L$306),M$317/SUM(M$244-M$243,M$267-M$266,M$271-M$270,M$275-M$274,M$293-M$292,M$297-M$296,M$301-M$300,M$307-M$306),N$317/SUM(N$244-N$243,N$267-N$266,N$271-N$270,N$275-N$274,N$293-N$292,N$297-N$296,N$301-N$300,N$307-N$306)),N$317/SUM(N$244-N$243,N$267-N$266,N$271-N$270,N$275-N$274,N$293-N$292,N$297-N$296,N$301-N$300,N$307-N$306))*SUM(O$244-O$243,O$267-O$266,O$271-O$270,O$275-O$274,O$293-O$292,O$297-O$296,O$301-O$300,O$307-O$306)</f>
        <v>8.5545633944533073</v>
      </c>
      <c r="P317" s="7">
        <f ca="1">IF(P$6=OFFSET(Assumptions!$B$8,0,$C$1),AVERAGE(M$317/SUM(M$244-M$243,M$267-M$266,M$271-M$270,M$275-M$274,M$293-M$292,M$297-M$296,M$301-M$300,M$307-M$306),N$317/SUM(N$244-N$243,N$267-N$266,N$271-N$270,N$275-N$274,N$293-N$292,N$297-N$296,N$301-N$300,N$307-N$306),O$317/SUM(O$244-O$243,O$267-O$266,O$271-O$270,O$275-O$274,O$293-O$292,O$297-O$296,O$301-O$300,O$307-O$306)),O$317/SUM(O$244-O$243,O$267-O$266,O$271-O$270,O$275-O$274,O$293-O$292,O$297-O$296,O$301-O$300,O$307-O$306))*SUM(P$244-P$243,P$267-P$266,P$271-P$270,P$275-P$274,P$293-P$292,P$297-P$296,P$301-P$300,P$307-P$306)</f>
        <v>8.9108099589356495</v>
      </c>
      <c r="Q317" s="7">
        <f ca="1">IF(Q$6=OFFSET(Assumptions!$B$8,0,$C$1),AVERAGE(N$317/SUM(N$244-N$243,N$267-N$266,N$271-N$270,N$275-N$274,N$293-N$292,N$297-N$296,N$301-N$300,N$307-N$306),O$317/SUM(O$244-O$243,O$267-O$266,O$271-O$270,O$275-O$274,O$293-O$292,O$297-O$296,O$301-O$300,O$307-O$306),P$317/SUM(P$244-P$243,P$267-P$266,P$271-P$270,P$275-P$274,P$293-P$292,P$297-P$296,P$301-P$300,P$307-P$306)),P$317/SUM(P$244-P$243,P$267-P$266,P$271-P$270,P$275-P$274,P$293-P$292,P$297-P$296,P$301-P$300,P$307-P$306))*SUM(Q$244-Q$243,Q$267-Q$266,Q$271-Q$270,Q$275-Q$274,Q$293-Q$292,Q$297-Q$296,Q$301-Q$300,Q$307-Q$306)</f>
        <v>9.2790633797097879</v>
      </c>
      <c r="R317" s="7">
        <f ca="1">IF(R$6=OFFSET(Assumptions!$B$8,0,$C$1),AVERAGE(O$317/SUM(O$244-O$243,O$267-O$266,O$271-O$270,O$275-O$274,O$293-O$292,O$297-O$296,O$301-O$300,O$307-O$306),P$317/SUM(P$244-P$243,P$267-P$266,P$271-P$270,P$275-P$274,P$293-P$292,P$297-P$296,P$301-P$300,P$307-P$306),Q$317/SUM(Q$244-Q$243,Q$267-Q$266,Q$271-Q$270,Q$275-Q$274,Q$293-Q$292,Q$297-Q$296,Q$301-Q$300,Q$307-Q$306)),Q$317/SUM(Q$244-Q$243,Q$267-Q$266,Q$271-Q$270,Q$275-Q$274,Q$293-Q$292,Q$297-Q$296,Q$301-Q$300,Q$307-Q$306))*SUM(R$244-R$243,R$267-R$266,R$271-R$270,R$275-R$274,R$293-R$292,R$297-R$296,R$301-R$300,R$307-R$306)</f>
        <v>9.6584735763546963</v>
      </c>
      <c r="S317" s="7">
        <f ca="1">IF(S$6=OFFSET(Assumptions!$B$8,0,$C$1),AVERAGE(P$317/SUM(P$244-P$243,P$267-P$266,P$271-P$270,P$275-P$274,P$293-P$292,P$297-P$296,P$301-P$300,P$307-P$306),Q$317/SUM(Q$244-Q$243,Q$267-Q$266,Q$271-Q$270,Q$275-Q$274,Q$293-Q$292,Q$297-Q$296,Q$301-Q$300,Q$307-Q$306),R$317/SUM(R$244-R$243,R$267-R$266,R$271-R$270,R$275-R$274,R$293-R$292,R$297-R$296,R$301-R$300,R$307-R$306)),R$317/SUM(R$244-R$243,R$267-R$266,R$271-R$270,R$275-R$274,R$293-R$292,R$297-R$296,R$301-R$300,R$307-R$306))*SUM(S$244-S$243,S$267-S$266,S$271-S$270,S$275-S$274,S$293-S$292,S$297-S$296,S$301-S$300,S$307-S$306)</f>
        <v>10.050691160506229</v>
      </c>
      <c r="T317" s="7">
        <f ca="1">IF(T$6=OFFSET(Assumptions!$B$8,0,$C$1),AVERAGE(Q$317/SUM(Q$244-Q$243,Q$267-Q$266,Q$271-Q$270,Q$275-Q$274,Q$293-Q$292,Q$297-Q$296,Q$301-Q$300,Q$307-Q$306),R$317/SUM(R$244-R$243,R$267-R$266,R$271-R$270,R$275-R$274,R$293-R$292,R$297-R$296,R$301-R$300,R$307-R$306),S$317/SUM(S$244-S$243,S$267-S$266,S$271-S$270,S$275-S$274,S$293-S$292,S$297-S$296,S$301-S$300,S$307-S$306)),S$317/SUM(S$244-S$243,S$267-S$266,S$271-S$270,S$275-S$274,S$293-S$292,S$297-S$296,S$301-S$300,S$307-S$306))*SUM(T$244-T$243,T$267-T$266,T$271-T$270,T$275-T$274,T$293-T$292,T$297-T$296,T$301-T$300,T$307-T$306)</f>
        <v>10.455943991529015</v>
      </c>
      <c r="U317" s="7">
        <f ca="1">IF(U$6=OFFSET(Assumptions!$B$8,0,$C$1),AVERAGE(R$317/SUM(R$244-R$243,R$267-R$266,R$271-R$270,R$275-R$274,R$293-R$292,R$297-R$296,R$301-R$300,R$307-R$306),S$317/SUM(S$244-S$243,S$267-S$266,S$271-S$270,S$275-S$274,S$293-S$292,S$297-S$296,S$301-S$300,S$307-S$306),T$317/SUM(T$244-T$243,T$267-T$266,T$271-T$270,T$275-T$274,T$293-T$292,T$297-T$296,T$301-T$300,T$307-T$306)),T$317/SUM(T$244-T$243,T$267-T$266,T$271-T$270,T$275-T$274,T$293-T$292,T$297-T$296,T$301-T$300,T$307-T$306))*SUM(U$244-U$243,U$267-U$266,U$271-U$270,U$275-U$274,U$293-U$292,U$297-U$296,U$301-U$300,U$307-U$306)</f>
        <v>10.875545772547824</v>
      </c>
    </row>
    <row r="318" spans="1:21" ht="15" x14ac:dyDescent="0.25">
      <c r="A318" s="2" t="s">
        <v>540</v>
      </c>
      <c r="B318" s="4" t="str">
        <f t="shared" si="147"/>
        <v>From Fiscal</v>
      </c>
      <c r="D318" s="39">
        <f>'Fiscal Forecasts'!D$198</f>
        <v>7.01</v>
      </c>
      <c r="E318" s="39">
        <f>'Fiscal Forecasts'!E$198</f>
        <v>5.9950000000000001</v>
      </c>
      <c r="F318" s="39">
        <f>'Fiscal Forecasts'!F$198</f>
        <v>6.6210000000000004</v>
      </c>
      <c r="G318" s="38">
        <f>'Fiscal Forecasts'!G$198</f>
        <v>7.6070000000000002</v>
      </c>
      <c r="H318" s="38">
        <f>'Fiscal Forecasts'!H$198</f>
        <v>7.431</v>
      </c>
      <c r="I318" s="38">
        <f>'Fiscal Forecasts'!I$198</f>
        <v>7.7779999999999996</v>
      </c>
      <c r="J318" s="38">
        <f>'Fiscal Forecasts'!J$198</f>
        <v>7.8760000000000003</v>
      </c>
      <c r="K318" s="38">
        <f>'Fiscal Forecasts'!K$198</f>
        <v>8.0630000000000006</v>
      </c>
      <c r="L318" s="7">
        <f ca="1">IF(L$6=OFFSET(Assumptions!$B$8,0,$C$1),AVERAGE(I$318/(I$289-I$288),J$318/(J$289-J$288),K$318/(K$289-K$288)),K$318/(K$289-K$288))*(L$289-L$288)</f>
        <v>8.6523013319594853</v>
      </c>
      <c r="M318" s="7">
        <f ca="1">IF(M$6=OFFSET(Assumptions!$B$8,0,$C$1),AVERAGE(J$318/(J$289-J$288),K$318/(K$289-K$288),L$318/(L$289-L$288)),L$318/(L$289-L$288))*(M$289-M$288)</f>
        <v>9.0468110888763942</v>
      </c>
      <c r="N318" s="7">
        <f ca="1">IF(N$6=OFFSET(Assumptions!$B$8,0,$C$1),AVERAGE(K$318/(K$289-K$288),L$318/(L$289-L$288),M$318/(M$289-M$288)),M$318/(M$289-M$288))*(N$289-N$288)</f>
        <v>9.449921695839901</v>
      </c>
      <c r="O318" s="7">
        <f ca="1">IF(O$6=OFFSET(Assumptions!$B$8,0,$C$1),AVERAGE(L$318/(L$289-L$288),M$318/(M$289-M$288),N$318/(N$289-N$288)),N$318/(N$289-N$288))*(O$289-O$288)</f>
        <v>9.8633543244953739</v>
      </c>
      <c r="P318" s="7">
        <f ca="1">IF(P$6=OFFSET(Assumptions!$B$8,0,$C$1),AVERAGE(M$318/(M$289-M$288),N$318/(N$289-N$288),O$318/(O$289-O$288)),O$318/(O$289-O$288))*(P$289-P$288)</f>
        <v>10.290826304123131</v>
      </c>
      <c r="Q318" s="7">
        <f ca="1">IF(Q$6=OFFSET(Assumptions!$B$8,0,$C$1),AVERAGE(N$318/(N$289-N$288),O$318/(O$289-O$288),P$318/(P$289-P$288)),P$318/(P$289-P$288))*(Q$289-Q$288)</f>
        <v>10.733018610735376</v>
      </c>
      <c r="R318" s="7">
        <f ca="1">IF(R$6=OFFSET(Assumptions!$B$8,0,$C$1),AVERAGE(O$318/(O$289-O$288),P$318/(P$289-P$288),Q$318/(Q$289-Q$288)),Q$318/(Q$289-Q$288))*(R$289-R$288)</f>
        <v>11.189170378618799</v>
      </c>
      <c r="S318" s="7">
        <f ca="1">IF(S$6=OFFSET(Assumptions!$B$8,0,$C$1),AVERAGE(P$318/(P$289-P$288),Q$318/(Q$289-Q$288),R$318/(R$289-R$288)),R$318/(R$289-R$288))*(S$289-S$288)</f>
        <v>11.660640157257619</v>
      </c>
      <c r="T318" s="7">
        <f ca="1">IF(T$6=OFFSET(Assumptions!$B$8,0,$C$1),AVERAGE(Q$318/(Q$289-Q$288),R$318/(R$289-R$288),S$318/(S$289-S$288)),S$318/(S$289-S$288))*(T$289-T$288)</f>
        <v>12.147856974282824</v>
      </c>
      <c r="U318" s="7">
        <f ca="1">IF(U$6=OFFSET(Assumptions!$B$8,0,$C$1),AVERAGE(R$318/(R$289-R$288),S$318/(S$289-S$288),T$318/(T$289-T$288)),T$318/(T$289-T$288))*(U$289-U$288)</f>
        <v>12.652293657550693</v>
      </c>
    </row>
    <row r="319" spans="1:21" ht="15" x14ac:dyDescent="0.25">
      <c r="A319" s="2" t="s">
        <v>541</v>
      </c>
      <c r="B319" s="4" t="str">
        <f t="shared" si="147"/>
        <v>From Fiscal</v>
      </c>
      <c r="D319" s="39">
        <f>'Fiscal Forecasts'!D$199</f>
        <v>-2.698</v>
      </c>
      <c r="E319" s="39">
        <f>'Fiscal Forecasts'!E$199</f>
        <v>-2.7010000000000001</v>
      </c>
      <c r="F319" s="39">
        <f>'Fiscal Forecasts'!F$199</f>
        <v>-2.96</v>
      </c>
      <c r="G319" s="38">
        <f>'Fiscal Forecasts'!G$199</f>
        <v>-3.4580000000000002</v>
      </c>
      <c r="H319" s="38">
        <f>'Fiscal Forecasts'!H$199</f>
        <v>-3.5209999999999999</v>
      </c>
      <c r="I319" s="38">
        <f>'Fiscal Forecasts'!I$199</f>
        <v>-3.4359999999999999</v>
      </c>
      <c r="J319" s="38">
        <f>'Fiscal Forecasts'!J$199</f>
        <v>-3.5339999999999998</v>
      </c>
      <c r="K319" s="38">
        <f>'Fiscal Forecasts'!K$199</f>
        <v>-3.468</v>
      </c>
      <c r="L319" s="7">
        <f t="shared" ref="L319:U319" ca="1" si="157">SUM(L$244-L$243,L$267-L$266,L$271-L$270,L$275-L$274,L$289-L$288,L$293-L$292,L$297-L$296,L$301-L$300,L$307-L$306,-L$317,-L$318)</f>
        <v>-3.8052692735974745</v>
      </c>
      <c r="M319" s="7">
        <f t="shared" ca="1" si="157"/>
        <v>-3.9746566482224761</v>
      </c>
      <c r="N319" s="7">
        <f t="shared" ca="1" si="157"/>
        <v>-4.1477243942912914</v>
      </c>
      <c r="O319" s="7">
        <f t="shared" ca="1" si="157"/>
        <v>-4.3252230997814447</v>
      </c>
      <c r="P319" s="7">
        <f t="shared" ca="1" si="157"/>
        <v>-4.5087367752692327</v>
      </c>
      <c r="Q319" s="7">
        <f t="shared" ca="1" si="157"/>
        <v>-4.6984990628462029</v>
      </c>
      <c r="R319" s="7">
        <f t="shared" ca="1" si="157"/>
        <v>-4.8941246616905438</v>
      </c>
      <c r="S319" s="7">
        <f t="shared" ca="1" si="157"/>
        <v>-5.0963375967922442</v>
      </c>
      <c r="T319" s="7">
        <f t="shared" ca="1" si="157"/>
        <v>-5.3052868286035739</v>
      </c>
      <c r="U319" s="7">
        <f t="shared" ca="1" si="157"/>
        <v>-5.5216280743864985</v>
      </c>
    </row>
    <row r="320" spans="1:21" ht="15" x14ac:dyDescent="0.25">
      <c r="A320" s="2"/>
      <c r="B320" s="4"/>
      <c r="D320" s="39"/>
      <c r="E320" s="39"/>
      <c r="F320" s="39"/>
      <c r="G320" s="38"/>
      <c r="H320" s="38"/>
      <c r="I320" s="38"/>
      <c r="J320" s="38"/>
      <c r="K320" s="38"/>
      <c r="L320" s="7"/>
      <c r="M320" s="7"/>
      <c r="N320" s="7"/>
      <c r="O320" s="7"/>
      <c r="P320" s="7"/>
      <c r="Q320" s="7"/>
      <c r="R320" s="7"/>
      <c r="S320" s="7"/>
      <c r="T320" s="7"/>
      <c r="U320" s="7"/>
    </row>
    <row r="321" spans="1:21" ht="15" x14ac:dyDescent="0.25">
      <c r="A321" s="18" t="s">
        <v>542</v>
      </c>
      <c r="B321" s="4"/>
      <c r="D321" s="39"/>
      <c r="E321" s="39"/>
      <c r="F321" s="39"/>
      <c r="G321" s="38"/>
      <c r="H321" s="38"/>
      <c r="I321" s="38"/>
      <c r="J321" s="38"/>
      <c r="K321" s="38"/>
      <c r="L321" s="7"/>
      <c r="M321" s="7"/>
      <c r="N321" s="7"/>
      <c r="O321" s="7"/>
      <c r="P321" s="7"/>
      <c r="Q321" s="7"/>
      <c r="R321" s="7"/>
      <c r="S321" s="7"/>
      <c r="T321" s="7"/>
      <c r="U321" s="7"/>
    </row>
    <row r="322" spans="1:21" x14ac:dyDescent="0.2">
      <c r="A322" s="1" t="s">
        <v>1222</v>
      </c>
      <c r="B322" s="4"/>
      <c r="D322" s="49">
        <f>D$369</f>
        <v>3.1560000000000001</v>
      </c>
      <c r="E322" s="49">
        <f>E$369</f>
        <v>-7.5999999999999998E-2</v>
      </c>
      <c r="F322" s="49">
        <f>F$369</f>
        <v>5.5119999999999996</v>
      </c>
      <c r="G322" s="15">
        <f t="shared" ref="G322:U322" si="158">G$369</f>
        <v>3.8959999999999999</v>
      </c>
      <c r="H322" s="15">
        <f t="shared" si="158"/>
        <v>2.641</v>
      </c>
      <c r="I322" s="15">
        <f t="shared" si="158"/>
        <v>2.8969999999999998</v>
      </c>
      <c r="J322" s="15">
        <f t="shared" si="158"/>
        <v>3.2090000000000001</v>
      </c>
      <c r="K322" s="15">
        <f t="shared" si="158"/>
        <v>3.593</v>
      </c>
      <c r="L322" s="6">
        <f t="shared" ca="1" si="158"/>
        <v>3.2094362994605494</v>
      </c>
      <c r="M322" s="6">
        <f t="shared" ca="1" si="158"/>
        <v>3.6218845559978323</v>
      </c>
      <c r="N322" s="6">
        <f t="shared" ca="1" si="158"/>
        <v>4.0674590042804812</v>
      </c>
      <c r="O322" s="6">
        <f t="shared" ca="1" si="158"/>
        <v>4.5457869515093901</v>
      </c>
      <c r="P322" s="6">
        <f t="shared" ca="1" si="158"/>
        <v>5.0570814337016374</v>
      </c>
      <c r="Q322" s="6">
        <f t="shared" ca="1" si="158"/>
        <v>5.4680177129874448</v>
      </c>
      <c r="R322" s="6">
        <f t="shared" ca="1" si="158"/>
        <v>5.8801288174281607</v>
      </c>
      <c r="S322" s="6">
        <f t="shared" ca="1" si="158"/>
        <v>6.3013958269500394</v>
      </c>
      <c r="T322" s="6">
        <f t="shared" ca="1" si="158"/>
        <v>6.7338295920476483</v>
      </c>
      <c r="U322" s="6">
        <f t="shared" ca="1" si="158"/>
        <v>7.1780509922627429</v>
      </c>
    </row>
    <row r="323" spans="1:21" x14ac:dyDescent="0.2">
      <c r="A323" s="1" t="s">
        <v>1223</v>
      </c>
      <c r="B323" s="4" t="str">
        <f t="shared" ref="B323:B336" si="159">$B$37</f>
        <v>From Fiscal</v>
      </c>
      <c r="D323" s="14">
        <f>'Fiscal Forecasts'!D$163-D$322</f>
        <v>0.51400000000000023</v>
      </c>
      <c r="E323" s="14">
        <f>'Fiscal Forecasts'!E$163-E$322</f>
        <v>-3.1829999999999998</v>
      </c>
      <c r="F323" s="14">
        <f>'Fiscal Forecasts'!F$163-F$322</f>
        <v>0.80200000000000049</v>
      </c>
      <c r="G323" s="15">
        <f>'Fiscal Forecasts'!G$163-G$322</f>
        <v>-0.17899999999999983</v>
      </c>
      <c r="H323" s="15">
        <f>'Fiscal Forecasts'!H$163-H$322</f>
        <v>0.1030000000000002</v>
      </c>
      <c r="I323" s="15">
        <f>'Fiscal Forecasts'!I$163-I$322</f>
        <v>0.14100000000000001</v>
      </c>
      <c r="J323" s="15">
        <f>'Fiscal Forecasts'!J$163-J$322</f>
        <v>0.19899999999999984</v>
      </c>
      <c r="K323" s="15">
        <f>'Fiscal Forecasts'!K$163-K$322</f>
        <v>0.2629999999999999</v>
      </c>
      <c r="L323" s="6">
        <f ca="1">IF(L$6=OFFSET(Assumptions!$B$8,0,$C$1),AVERAGE(I$323/I$13,J$323/J$13,K$323/K$13),K$323/K$13)*L$13</f>
        <v>0.2181389113609451</v>
      </c>
      <c r="M323" s="6">
        <f ca="1">IF(M$6=OFFSET(Assumptions!$B$8,0,$C$1),AVERAGE(J$323/J$13,K$323/K$13,L$323/L$13),L$323/L$13)*M$13</f>
        <v>0.22808515867635568</v>
      </c>
      <c r="N323" s="6">
        <f ca="1">IF(N$6=OFFSET(Assumptions!$B$8,0,$C$1),AVERAGE(K$323/K$13,L$323/L$13,M$323/M$13),M$323/M$13)*N$13</f>
        <v>0.23824824773062409</v>
      </c>
      <c r="O323" s="6">
        <f ca="1">IF(O$6=OFFSET(Assumptions!$B$8,0,$C$1),AVERAGE(L$323/L$13,M$323/M$13,N$323/N$13),N$323/N$13)*O$13</f>
        <v>0.248671572124433</v>
      </c>
      <c r="P323" s="6">
        <f ca="1">IF(P$6=OFFSET(Assumptions!$B$8,0,$C$1),AVERAGE(M$323/M$13,N$323/N$13,O$323/O$13),O$323/O$13)*P$13</f>
        <v>0.25944885191343792</v>
      </c>
      <c r="Q323" s="6">
        <f ca="1">IF(Q$6=OFFSET(Assumptions!$B$8,0,$C$1),AVERAGE(N$323/N$13,O$323/O$13,P$323/P$13),P$323/P$13)*Q$13</f>
        <v>0.27059725563584225</v>
      </c>
      <c r="R323" s="6">
        <f ca="1">IF(R$6=OFFSET(Assumptions!$B$8,0,$C$1),AVERAGE(O$323/O$13,P$323/P$13,Q$323/Q$13),Q$323/Q$13)*R$13</f>
        <v>0.28209760060116557</v>
      </c>
      <c r="S323" s="6">
        <f ca="1">IF(S$6=OFFSET(Assumptions!$B$8,0,$C$1),AVERAGE(P$323/P$13,Q$323/Q$13,R$323/R$13),R$323/R$13)*S$13</f>
        <v>0.29398413810211582</v>
      </c>
      <c r="T323" s="6">
        <f ca="1">IF(T$6=OFFSET(Assumptions!$B$8,0,$C$1),AVERAGE(Q$323/Q$13,R$323/R$13,S$323/S$13),S$323/S$13)*T$13</f>
        <v>0.30626768463904097</v>
      </c>
      <c r="U323" s="6">
        <f ca="1">IF(U$6=OFFSET(Assumptions!$B$8,0,$C$1),AVERAGE(R$323/R$13,S$323/S$13,T$323/T$13),T$323/T$13)*U$13</f>
        <v>0.31898537265253257</v>
      </c>
    </row>
    <row r="324" spans="1:21" ht="15" x14ac:dyDescent="0.25">
      <c r="A324" s="2" t="s">
        <v>1224</v>
      </c>
      <c r="B324" s="4"/>
      <c r="D324" s="34">
        <f>SUM(D$322:D$323)</f>
        <v>3.6700000000000004</v>
      </c>
      <c r="E324" s="34">
        <f>SUM(E$322:E$323)</f>
        <v>-3.2589999999999999</v>
      </c>
      <c r="F324" s="34">
        <f>SUM(F$322:F$323)</f>
        <v>6.3140000000000001</v>
      </c>
      <c r="G324" s="33">
        <f t="shared" ref="G324:U324" si="160">SUM(G$322:G$323)</f>
        <v>3.7170000000000001</v>
      </c>
      <c r="H324" s="33">
        <f t="shared" si="160"/>
        <v>2.7440000000000002</v>
      </c>
      <c r="I324" s="33">
        <f t="shared" si="160"/>
        <v>3.0379999999999998</v>
      </c>
      <c r="J324" s="33">
        <f t="shared" si="160"/>
        <v>3.4079999999999999</v>
      </c>
      <c r="K324" s="33">
        <f t="shared" si="160"/>
        <v>3.8559999999999999</v>
      </c>
      <c r="L324" s="37">
        <f t="shared" ca="1" si="160"/>
        <v>3.4275752108214945</v>
      </c>
      <c r="M324" s="37">
        <f t="shared" ca="1" si="160"/>
        <v>3.849969714674188</v>
      </c>
      <c r="N324" s="37">
        <f t="shared" ca="1" si="160"/>
        <v>4.3057072520111053</v>
      </c>
      <c r="O324" s="37">
        <f t="shared" ca="1" si="160"/>
        <v>4.7944585236338231</v>
      </c>
      <c r="P324" s="37">
        <f t="shared" ca="1" si="160"/>
        <v>5.3165302856150749</v>
      </c>
      <c r="Q324" s="37">
        <f t="shared" ca="1" si="160"/>
        <v>5.7386149686232866</v>
      </c>
      <c r="R324" s="37">
        <f t="shared" ca="1" si="160"/>
        <v>6.1622264180293262</v>
      </c>
      <c r="S324" s="37">
        <f t="shared" ca="1" si="160"/>
        <v>6.595379965052155</v>
      </c>
      <c r="T324" s="37">
        <f t="shared" ca="1" si="160"/>
        <v>7.0400972766866889</v>
      </c>
      <c r="U324" s="37">
        <f t="shared" ca="1" si="160"/>
        <v>7.4970363649152754</v>
      </c>
    </row>
    <row r="325" spans="1:21" x14ac:dyDescent="0.2">
      <c r="A325" s="1" t="s">
        <v>272</v>
      </c>
      <c r="B325" s="4" t="str">
        <f t="shared" si="159"/>
        <v>From Fiscal</v>
      </c>
      <c r="D325" s="14">
        <f>SUM('Fiscal Forecasts'!D$286,'Fiscal Forecasts'!D$292)</f>
        <v>1.4169999999999998</v>
      </c>
      <c r="E325" s="14">
        <f>SUM('Fiscal Forecasts'!E$286,'Fiscal Forecasts'!E$292)</f>
        <v>-3.3</v>
      </c>
      <c r="F325" s="14">
        <f>SUM('Fiscal Forecasts'!F$286,'Fiscal Forecasts'!F$292)</f>
        <v>1.2909999999999999</v>
      </c>
      <c r="G325" s="15">
        <f>SUM('Fiscal Forecasts'!G$286,'Fiscal Forecasts'!G$292)</f>
        <v>0.24099999999999999</v>
      </c>
      <c r="H325" s="15">
        <f>SUM('Fiscal Forecasts'!H$286,'Fiscal Forecasts'!H$292)</f>
        <v>0.111</v>
      </c>
      <c r="I325" s="15">
        <f>SUM('Fiscal Forecasts'!I$286,'Fiscal Forecasts'!I$292)</f>
        <v>0.20100000000000001</v>
      </c>
      <c r="J325" s="15">
        <f>SUM('Fiscal Forecasts'!J$286,'Fiscal Forecasts'!J$292)</f>
        <v>0.26200000000000001</v>
      </c>
      <c r="K325" s="15">
        <f>SUM('Fiscal Forecasts'!K$286,'Fiscal Forecasts'!K$292)</f>
        <v>0.311</v>
      </c>
      <c r="L325" s="6">
        <f>K$325*Exogenous!S$27/Exogenous!R$27</f>
        <v>0.33384024837273174</v>
      </c>
      <c r="M325" s="6">
        <f>L$325*Exogenous!T$27/Exogenous!S$27</f>
        <v>0.3584546333772004</v>
      </c>
      <c r="N325" s="6">
        <f>M$325*Exogenous!U$27/Exogenous!T$27</f>
        <v>0.38472449317428542</v>
      </c>
      <c r="O325" s="6">
        <f>N$325*Exogenous!V$27/Exogenous!U$27</f>
        <v>0.41065024423664243</v>
      </c>
      <c r="P325" s="6">
        <f>O$325*Exogenous!W$27/Exogenous!V$27</f>
        <v>0.43536989300797779</v>
      </c>
      <c r="Q325" s="6">
        <f>P$325*Exogenous!X$27/Exogenous!W$27</f>
        <v>0.46642419134309143</v>
      </c>
      <c r="R325" s="6">
        <f>Q$325*Exogenous!Y$27/Exogenous!X$27</f>
        <v>0.49034991487186952</v>
      </c>
      <c r="S325" s="6">
        <f>R$325*Exogenous!Z$27/Exogenous!Y$27</f>
        <v>0.51323442795032925</v>
      </c>
      <c r="T325" s="6">
        <f>S$325*Exogenous!AA$27/Exogenous!Z$27</f>
        <v>0.53736688298021829</v>
      </c>
      <c r="U325" s="6">
        <f>T$325*Exogenous!AB$27/Exogenous!AA$27</f>
        <v>0.56298565838296533</v>
      </c>
    </row>
    <row r="326" spans="1:21" x14ac:dyDescent="0.2">
      <c r="A326" s="1" t="s">
        <v>483</v>
      </c>
      <c r="B326" s="4" t="str">
        <f t="shared" si="159"/>
        <v>From Fiscal</v>
      </c>
      <c r="D326" s="14">
        <f>SUM('Fiscal Forecasts'!D$287,'Fiscal Forecasts'!D$293)</f>
        <v>0.34200000000000003</v>
      </c>
      <c r="E326" s="14">
        <f>SUM('Fiscal Forecasts'!E$287,'Fiscal Forecasts'!E$293)</f>
        <v>6.0000000000000053E-3</v>
      </c>
      <c r="F326" s="14">
        <f>SUM('Fiscal Forecasts'!F$287,'Fiscal Forecasts'!F$293)</f>
        <v>9.3000000000000013E-2</v>
      </c>
      <c r="G326" s="15">
        <f>SUM('Fiscal Forecasts'!G$287,'Fiscal Forecasts'!G$293)</f>
        <v>4.2999999999999997E-2</v>
      </c>
      <c r="H326" s="15">
        <f>SUM('Fiscal Forecasts'!H$287,'Fiscal Forecasts'!H$293)</f>
        <v>6.8000000000000005E-2</v>
      </c>
      <c r="I326" s="15">
        <f>SUM('Fiscal Forecasts'!I$287,'Fiscal Forecasts'!I$293)</f>
        <v>3.5000000000000003E-2</v>
      </c>
      <c r="J326" s="15">
        <f>SUM('Fiscal Forecasts'!J$287,'Fiscal Forecasts'!J$293)</f>
        <v>3.2000000000000001E-2</v>
      </c>
      <c r="K326" s="15">
        <f>SUM('Fiscal Forecasts'!K$287,'Fiscal Forecasts'!K$293)</f>
        <v>3.1E-2</v>
      </c>
      <c r="L326" s="6">
        <f ca="1">IF(L$6=OFFSET(Assumptions!$B$8,0,$C$1),AVERAGE(I$326/I$13,J$326/J$13,K$326/K$13),K$326/K$13)*L$13</f>
        <v>3.5839757465270107E-2</v>
      </c>
      <c r="M326" s="6">
        <f ca="1">IF(M$6=OFFSET(Assumptions!$B$8,0,$C$1),AVERAGE(J$326/J$13,K$326/K$13,L$326/L$13),L$326/L$13)*M$13</f>
        <v>3.7473904666472886E-2</v>
      </c>
      <c r="N326" s="6">
        <f ca="1">IF(N$6=OFFSET(Assumptions!$B$8,0,$C$1),AVERAGE(K$326/K$13,L$326/L$13,M$326/M$13),M$326/M$13)*N$13</f>
        <v>3.9143678502467805E-2</v>
      </c>
      <c r="O326" s="6">
        <f ca="1">IF(O$6=OFFSET(Assumptions!$B$8,0,$C$1),AVERAGE(L$326/L$13,M$326/M$13,N$326/N$13),N$326/N$13)*O$13</f>
        <v>4.0856208449212679E-2</v>
      </c>
      <c r="P326" s="6">
        <f ca="1">IF(P$6=OFFSET(Assumptions!$B$8,0,$C$1),AVERAGE(M$326/M$13,N$326/N$13,O$326/O$13),O$326/O$13)*P$13</f>
        <v>4.2626892511783136E-2</v>
      </c>
      <c r="Q326" s="6">
        <f ca="1">IF(Q$6=OFFSET(Assumptions!$B$8,0,$C$1),AVERAGE(N$326/N$13,O$326/O$13,P$326/P$13),P$326/P$13)*Q$13</f>
        <v>4.4458551444355496E-2</v>
      </c>
      <c r="R326" s="6">
        <f ca="1">IF(R$6=OFFSET(Assumptions!$B$8,0,$C$1),AVERAGE(O$326/O$13,P$326/P$13,Q$326/Q$13),Q$326/Q$13)*R$13</f>
        <v>4.6348033571834021E-2</v>
      </c>
      <c r="S326" s="6">
        <f ca="1">IF(S$6=OFFSET(Assumptions!$B$8,0,$C$1),AVERAGE(P$326/P$13,Q$326/Q$13,R$326/R$13),R$326/R$13)*S$13</f>
        <v>4.8300966308492788E-2</v>
      </c>
      <c r="T326" s="6">
        <f ca="1">IF(T$6=OFFSET(Assumptions!$B$8,0,$C$1),AVERAGE(Q$326/Q$13,R$326/R$13,S$326/S$13),S$326/S$13)*T$13</f>
        <v>5.031912678224848E-2</v>
      </c>
      <c r="U326" s="6">
        <f ca="1">IF(U$6=OFFSET(Assumptions!$B$8,0,$C$1),AVERAGE(R$326/R$13,S$326/S$13,T$326/T$13),T$326/T$13)*U$13</f>
        <v>5.2408615773821929E-2</v>
      </c>
    </row>
    <row r="327" spans="1:21" x14ac:dyDescent="0.2">
      <c r="A327" s="1" t="s">
        <v>484</v>
      </c>
      <c r="B327" s="4" t="str">
        <f t="shared" si="159"/>
        <v>From Fiscal</v>
      </c>
      <c r="D327" s="14">
        <f>SUM('Fiscal Forecasts'!D$26:D$27)-SUM(D$324:D$326)</f>
        <v>-0.88199999999999967</v>
      </c>
      <c r="E327" s="14">
        <f>SUM('Fiscal Forecasts'!E$26:E$27)-SUM(E$324:E$326)</f>
        <v>-0.96600000000000019</v>
      </c>
      <c r="F327" s="14">
        <f>SUM('Fiscal Forecasts'!F$26:F$27)-SUM(F$324:F$326)</f>
        <v>-4.7000000000000597E-2</v>
      </c>
      <c r="G327" s="15">
        <f>SUM('Fiscal Forecasts'!G$26:G$27)-SUM(G$324:G$326)</f>
        <v>-0.32899999999999974</v>
      </c>
      <c r="H327" s="15">
        <f>SUM('Fiscal Forecasts'!H$26:H$27)-SUM(H$324:H$326)</f>
        <v>-0.11900000000000066</v>
      </c>
      <c r="I327" s="15">
        <f>SUM('Fiscal Forecasts'!I$26:I$27)-SUM(I$324:I$326)</f>
        <v>-0.13900000000000023</v>
      </c>
      <c r="J327" s="15">
        <f>SUM('Fiscal Forecasts'!J$26:J$27)-SUM(J$324:J$326)</f>
        <v>-0.15200000000000014</v>
      </c>
      <c r="K327" s="15">
        <f>SUM('Fiscal Forecasts'!K$26:K$27)-SUM(K$324:K$326)</f>
        <v>-0.16099999999999959</v>
      </c>
      <c r="L327" s="6">
        <f ca="1">IF(L$6=OFFSET(Assumptions!$B$8,0,$C$1),AVERAGE(I$327/SUM(I$325,I$326),J$327/SUM(J$325,J$326),K$327/SUM(K$325,K$326)),K$327/SUM(K$325,K$326))*SUM(L$325,L$326)</f>
        <v>-0.19429766051571462</v>
      </c>
      <c r="M327" s="6">
        <f ca="1">IF(M$6=OFFSET(Assumptions!$B$8,0,$C$1),AVERAGE(J$327/SUM(J$325,J$326),K$327/SUM(K$325,K$326),L$327/SUM(L$325,L$326)),L$327/SUM(L$325,L$326))*SUM(M$325,M$326)</f>
        <v>-0.20809345233294435</v>
      </c>
      <c r="N327" s="6">
        <f ca="1">IF(N$6=OFFSET(Assumptions!$B$8,0,$C$1),AVERAGE(K$327/SUM(K$325,K$326),L$327/SUM(L$325,L$326),M$327/SUM(M$325,M$326)),M$327/SUM(M$325,M$326))*SUM(N$325,N$326)</f>
        <v>-0.2227780589247125</v>
      </c>
      <c r="O327" s="6">
        <f ca="1">IF(O$6=OFFSET(Assumptions!$B$8,0,$C$1),AVERAGE(L$327/SUM(L$325,L$326),M$327/SUM(M$325,M$326),N$327/SUM(N$325,N$326)),N$327/SUM(N$325,N$326))*SUM(O$325,O$326)</f>
        <v>-0.23730427959107339</v>
      </c>
      <c r="P327" s="6">
        <f ca="1">IF(P$6=OFFSET(Assumptions!$B$8,0,$C$1),AVERAGE(M$327/SUM(M$325,M$326),N$327/SUM(N$325,N$326),O$327/SUM(O$325,O$326)),O$327/SUM(O$325,O$326))*SUM(P$325,P$326)</f>
        <v>-0.25122715779554411</v>
      </c>
      <c r="Q327" s="6">
        <f ca="1">IF(Q$6=OFFSET(Assumptions!$B$8,0,$C$1),AVERAGE(N$327/SUM(N$325,N$326),O$327/SUM(O$325,O$326),P$327/SUM(P$325,P$326)),P$327/SUM(P$325,P$326))*SUM(Q$325,Q$326)</f>
        <v>-0.26851146979517976</v>
      </c>
      <c r="R327" s="6">
        <f ca="1">IF(R$6=OFFSET(Assumptions!$B$8,0,$C$1),AVERAGE(O$327/SUM(O$325,O$326),P$327/SUM(P$325,P$326),Q$327/SUM(Q$325,Q$326)),Q$327/SUM(Q$325,Q$326))*SUM(R$325,R$326)</f>
        <v>-0.2820795123875095</v>
      </c>
      <c r="S327" s="6">
        <f ca="1">IF(S$6=OFFSET(Assumptions!$B$8,0,$C$1),AVERAGE(P$327/SUM(P$325,P$326),Q$327/SUM(Q$325,Q$326),R$327/SUM(R$325,R$326)),R$327/SUM(R$325,R$326))*SUM(S$325,S$326)</f>
        <v>-0.29513366067482066</v>
      </c>
      <c r="T327" s="6">
        <f ca="1">IF(T$6=OFFSET(Assumptions!$B$8,0,$C$1),AVERAGE(Q$327/SUM(Q$325,Q$326),R$327/SUM(R$325,R$326),S$327/SUM(S$325,S$326)),S$327/SUM(S$325,S$326))*SUM(T$325,T$326)</f>
        <v>-0.30887798910255476</v>
      </c>
      <c r="U327" s="6">
        <f ca="1">IF(U$6=OFFSET(Assumptions!$B$8,0,$C$1),AVERAGE(R$327/SUM(R$325,R$326),S$327/SUM(S$325,S$326),T$327/SUM(T$325,T$326)),T$327/SUM(T$325,T$326))*SUM(U$325,U$326)</f>
        <v>-0.32344099187183767</v>
      </c>
    </row>
    <row r="328" spans="1:21" ht="15" x14ac:dyDescent="0.25">
      <c r="A328" s="2" t="s">
        <v>543</v>
      </c>
      <c r="B328" s="4"/>
      <c r="D328" s="34">
        <f t="shared" ref="D328:U328" si="161">SUM(D$324:D$327)</f>
        <v>4.5469999999999997</v>
      </c>
      <c r="E328" s="34">
        <f t="shared" si="161"/>
        <v>-7.5189999999999992</v>
      </c>
      <c r="F328" s="34">
        <f t="shared" si="161"/>
        <v>7.6509999999999998</v>
      </c>
      <c r="G328" s="33">
        <f t="shared" si="161"/>
        <v>3.6720000000000006</v>
      </c>
      <c r="H328" s="33">
        <f t="shared" si="161"/>
        <v>2.8039999999999998</v>
      </c>
      <c r="I328" s="33">
        <f t="shared" si="161"/>
        <v>3.1349999999999998</v>
      </c>
      <c r="J328" s="33">
        <f t="shared" si="161"/>
        <v>3.55</v>
      </c>
      <c r="K328" s="33">
        <f t="shared" si="161"/>
        <v>4.0369999999999999</v>
      </c>
      <c r="L328" s="37">
        <f t="shared" ca="1" si="161"/>
        <v>3.6029575561437817</v>
      </c>
      <c r="M328" s="37">
        <f t="shared" ca="1" si="161"/>
        <v>4.037804800384917</v>
      </c>
      <c r="N328" s="37">
        <f t="shared" ca="1" si="161"/>
        <v>4.5067973647631465</v>
      </c>
      <c r="O328" s="37">
        <f t="shared" ca="1" si="161"/>
        <v>5.0086606967286036</v>
      </c>
      <c r="P328" s="37">
        <f t="shared" ca="1" si="161"/>
        <v>5.5432999133392915</v>
      </c>
      <c r="Q328" s="37">
        <f t="shared" ca="1" si="161"/>
        <v>5.9809862416155539</v>
      </c>
      <c r="R328" s="37">
        <f t="shared" ca="1" si="161"/>
        <v>6.4168448540855207</v>
      </c>
      <c r="S328" s="37">
        <f t="shared" ca="1" si="161"/>
        <v>6.8617816986361566</v>
      </c>
      <c r="T328" s="37">
        <f t="shared" ca="1" si="161"/>
        <v>7.3189052973466016</v>
      </c>
      <c r="U328" s="37">
        <f t="shared" ca="1" si="161"/>
        <v>7.7889896472002249</v>
      </c>
    </row>
    <row r="329" spans="1:21" ht="15" x14ac:dyDescent="0.25">
      <c r="A329" s="2"/>
      <c r="B329" s="4"/>
      <c r="D329" s="48"/>
      <c r="E329" s="48"/>
      <c r="F329" s="48"/>
      <c r="G329" s="48"/>
      <c r="H329" s="48"/>
      <c r="I329" s="48"/>
      <c r="J329" s="48"/>
      <c r="K329" s="48"/>
      <c r="L329" s="48"/>
      <c r="M329" s="48"/>
      <c r="N329" s="48"/>
      <c r="O329" s="48"/>
      <c r="P329" s="48"/>
      <c r="Q329" s="48"/>
      <c r="R329" s="48"/>
      <c r="S329" s="48"/>
      <c r="T329" s="48"/>
      <c r="U329" s="48"/>
    </row>
    <row r="330" spans="1:21" ht="15" x14ac:dyDescent="0.25">
      <c r="A330" s="18" t="s">
        <v>261</v>
      </c>
      <c r="B330" s="4"/>
      <c r="D330" s="39"/>
      <c r="E330" s="39"/>
      <c r="F330" s="39"/>
      <c r="G330" s="38"/>
      <c r="H330" s="38"/>
      <c r="I330" s="38"/>
      <c r="J330" s="38"/>
      <c r="K330" s="38"/>
      <c r="L330" s="7"/>
      <c r="M330" s="7"/>
      <c r="N330" s="7"/>
      <c r="O330" s="7"/>
      <c r="P330" s="7"/>
      <c r="Q330" s="7"/>
      <c r="R330" s="7"/>
      <c r="S330" s="7"/>
      <c r="T330" s="7"/>
      <c r="U330" s="7"/>
    </row>
    <row r="331" spans="1:21" ht="15" x14ac:dyDescent="0.25">
      <c r="A331" s="2" t="s">
        <v>544</v>
      </c>
      <c r="B331" s="4" t="str">
        <f t="shared" si="159"/>
        <v>From Fiscal</v>
      </c>
      <c r="D331" s="39">
        <f>'Fiscal Forecasts'!D$164</f>
        <v>0.35899999999999999</v>
      </c>
      <c r="E331" s="39">
        <f>'Fiscal Forecasts'!E$164</f>
        <v>0.155</v>
      </c>
      <c r="F331" s="39">
        <f>'Fiscal Forecasts'!F$164</f>
        <v>0.307</v>
      </c>
      <c r="G331" s="38">
        <f>'Fiscal Forecasts'!G$164</f>
        <v>0.113</v>
      </c>
      <c r="H331" s="38">
        <f>'Fiscal Forecasts'!H$164</f>
        <v>0.125</v>
      </c>
      <c r="I331" s="38">
        <f>'Fiscal Forecasts'!I$164</f>
        <v>0.123</v>
      </c>
      <c r="J331" s="38">
        <f>'Fiscal Forecasts'!J$164</f>
        <v>0.122</v>
      </c>
      <c r="K331" s="38">
        <f>'Fiscal Forecasts'!K$164</f>
        <v>0.121</v>
      </c>
      <c r="L331" s="7">
        <f ca="1">IF(L$6=OFFSET(Assumptions!$B$8,0,$C$1),AVERAGE(I$331/I$13,J$331/J$13,K$331/K$13),K$331/K$13)*L$13</f>
        <v>0.13363874947188845</v>
      </c>
      <c r="M331" s="7">
        <f ca="1">IF(M$6=OFFSET(Assumptions!$B$8,0,$C$1),AVERAGE(J$331/J$13,K$331/K$13,L$331/L$13),L$331/L$13)*M$13</f>
        <v>0.13973213301761553</v>
      </c>
      <c r="N331" s="7">
        <f ca="1">IF(N$6=OFFSET(Assumptions!$B$8,0,$C$1),AVERAGE(K$331/K$13,L$331/L$13,M$331/M$13),M$331/M$13)*N$13</f>
        <v>0.14595836062419112</v>
      </c>
      <c r="O331" s="7">
        <f ca="1">IF(O$6=OFFSET(Assumptions!$B$8,0,$C$1),AVERAGE(L$331/L$13,M$331/M$13,N$331/N$13),N$331/N$13)*O$13</f>
        <v>0.1523440165745116</v>
      </c>
      <c r="P331" s="7">
        <f ca="1">IF(P$6=OFFSET(Assumptions!$B$8,0,$C$1),AVERAGE(M$331/M$13,N$331/N$13,O$331/O$13),O$331/O$13)*P$13</f>
        <v>0.1589465167186887</v>
      </c>
      <c r="Q331" s="7">
        <f ca="1">IF(Q$6=OFFSET(Assumptions!$B$8,0,$C$1),AVERAGE(N$331/N$13,O$331/O$13,P$331/P$13),P$331/P$13)*Q$13</f>
        <v>0.16577637904253908</v>
      </c>
      <c r="R331" s="7">
        <f ca="1">IF(R$6=OFFSET(Assumptions!$B$8,0,$C$1),AVERAGE(O$331/O$13,P$331/P$13,Q$331/Q$13),Q$331/Q$13)*R$13</f>
        <v>0.17282185162729086</v>
      </c>
      <c r="S331" s="7">
        <f ca="1">IF(S$6=OFFSET(Assumptions!$B$8,0,$C$1),AVERAGE(P$331/P$13,Q$331/Q$13,R$331/R$13),R$331/R$13)*S$13</f>
        <v>0.18010391789078878</v>
      </c>
      <c r="T331" s="7">
        <f ca="1">IF(T$6=OFFSET(Assumptions!$B$8,0,$C$1),AVERAGE(Q$331/Q$13,R$331/R$13,S$331/S$13),S$331/S$13)*T$13</f>
        <v>0.18762920436092342</v>
      </c>
      <c r="U331" s="7">
        <f ca="1">IF(U$6=OFFSET(Assumptions!$B$8,0,$C$1),AVERAGE(R$331/R$13,S$331/S$13,T$331/T$13),T$331/T$13)*U$13</f>
        <v>0.19542045953723822</v>
      </c>
    </row>
    <row r="332" spans="1:21" ht="15" x14ac:dyDescent="0.25">
      <c r="A332" s="2" t="s">
        <v>545</v>
      </c>
      <c r="B332" s="4" t="str">
        <f t="shared" si="159"/>
        <v>From Fiscal</v>
      </c>
      <c r="D332" s="39">
        <f>'Fiscal Forecasts'!D$30</f>
        <v>1.028</v>
      </c>
      <c r="E332" s="39">
        <f>'Fiscal Forecasts'!E$30</f>
        <v>0.307</v>
      </c>
      <c r="F332" s="39">
        <f>'Fiscal Forecasts'!F$30</f>
        <v>0.56999999999999995</v>
      </c>
      <c r="G332" s="38">
        <f>'Fiscal Forecasts'!G$30</f>
        <v>0.20100000000000001</v>
      </c>
      <c r="H332" s="38">
        <f>'Fiscal Forecasts'!H$30</f>
        <v>0.249</v>
      </c>
      <c r="I332" s="38">
        <f>'Fiscal Forecasts'!I$30</f>
        <v>0.28299999999999997</v>
      </c>
      <c r="J332" s="38">
        <f>'Fiscal Forecasts'!J$30</f>
        <v>0.29799999999999999</v>
      </c>
      <c r="K332" s="38">
        <f>'Fiscal Forecasts'!K$30</f>
        <v>0.307</v>
      </c>
      <c r="L332" s="7">
        <f ca="1">SUM(L$331,IF(L$6=OFFSET(Assumptions!$B$8,0,$C$1),AVERAGE((I$332-I$331)/I$13,(J$332-J$331)/J$13,(K$332-K$331)/K$13),(K$332-K$331)/K$13)*L$13)</f>
        <v>0.32376799048446347</v>
      </c>
      <c r="M332" s="7">
        <f ca="1">SUM(M$331,IF(M$6=OFFSET(Assumptions!$B$8,0,$C$1),AVERAGE((J$332-J$331)/J$13,(K$332-K$331)/K$13,(L$332-L$331)/L$13),(L$332-L$331)/L$13)*M$13)</f>
        <v>0.33853049427657023</v>
      </c>
      <c r="N332" s="7">
        <f ca="1">SUM(N$331,IF(N$6=OFFSET(Assumptions!$B$8,0,$C$1),AVERAGE((K$332-K$331)/K$13,(L$332-L$331)/L$13,(M$332-M$331)/M$13),(M$332-M$331)/M$13)*N$13)</f>
        <v>0.35361484075875516</v>
      </c>
      <c r="O332" s="7">
        <f ca="1">SUM(O$331,IF(O$6=OFFSET(Assumptions!$B$8,0,$C$1),AVERAGE((L$332-L$331)/L$13,(M$332-M$331)/M$13,(N$332-N$331)/N$13),(N$332-N$331)/N$13)*O$13)</f>
        <v>0.36908543595012461</v>
      </c>
      <c r="P332" s="7">
        <f ca="1">SUM(P$331,IF(P$6=OFFSET(Assumptions!$B$8,0,$C$1),AVERAGE((M$332-M$331)/M$13,(N$332-N$331)/N$13,(O$332-O$331)/O$13),(O$332-O$331)/O$13)*P$13)</f>
        <v>0.38508138182885543</v>
      </c>
      <c r="Q332" s="7">
        <f ca="1">SUM(Q$331,IF(Q$6=OFFSET(Assumptions!$B$8,0,$C$1),AVERAGE((N$332-N$331)/N$13,(O$332-O$331)/O$13,(P$332-P$331)/P$13),(P$332-P$331)/P$13)*Q$13)</f>
        <v>0.40162816042875349</v>
      </c>
      <c r="R332" s="7">
        <f ca="1">SUM(R$331,IF(R$6=OFFSET(Assumptions!$B$8,0,$C$1),AVERAGE((O$332-O$331)/O$13,(P$332-P$331)/P$13,(Q$332-Q$331)/Q$13),(Q$332-Q$331)/Q$13)*R$13)</f>
        <v>0.41869730025378832</v>
      </c>
      <c r="S332" s="7">
        <f ca="1">SUM(S$331,IF(S$6=OFFSET(Assumptions!$B$8,0,$C$1),AVERAGE((P$332-P$331)/P$13,(Q$332-Q$331)/Q$13,(R$332-R$331)/R$13),(R$332-R$331)/R$13)*S$13)</f>
        <v>0.43633963804896037</v>
      </c>
      <c r="T332" s="7">
        <f ca="1">SUM(T$331,IF(T$6=OFFSET(Assumptions!$B$8,0,$C$1),AVERAGE((Q$332-Q$331)/Q$13,(R$332-R$331)/R$13,(S$332-S$331)/S$13),(S$332-S$331)/S$13)*T$13)</f>
        <v>0.45457122797241989</v>
      </c>
      <c r="U332" s="7">
        <f ca="1">SUM(U$331,IF(U$6=OFFSET(Assumptions!$B$8,0,$C$1),AVERAGE((R$332-R$331)/R$13,(S$332-S$331)/S$13,(T$332-T$331)/T$13),(T$332-T$331)/T$13)*U$13)</f>
        <v>0.47344718305098599</v>
      </c>
    </row>
    <row r="333" spans="1:21" ht="15" x14ac:dyDescent="0.25">
      <c r="A333" s="2"/>
      <c r="B333" s="4"/>
      <c r="D333" s="39"/>
      <c r="E333" s="39"/>
      <c r="F333" s="39"/>
      <c r="G333" s="38"/>
      <c r="H333" s="38"/>
      <c r="I333" s="38"/>
      <c r="J333" s="38"/>
      <c r="K333" s="38"/>
      <c r="L333" s="7"/>
      <c r="M333" s="7"/>
      <c r="N333" s="7"/>
      <c r="O333" s="7"/>
      <c r="P333" s="7"/>
      <c r="Q333" s="7"/>
      <c r="R333" s="7"/>
      <c r="S333" s="7"/>
      <c r="T333" s="7"/>
      <c r="U333" s="7"/>
    </row>
    <row r="334" spans="1:21" ht="15" x14ac:dyDescent="0.25">
      <c r="A334" s="18" t="s">
        <v>212</v>
      </c>
      <c r="B334" s="4"/>
      <c r="D334" s="39"/>
      <c r="E334" s="39"/>
      <c r="F334" s="39"/>
      <c r="G334" s="7"/>
      <c r="H334" s="7"/>
      <c r="I334" s="7"/>
      <c r="J334" s="7"/>
      <c r="K334" s="7"/>
      <c r="L334" s="7"/>
      <c r="M334" s="7"/>
      <c r="N334" s="7"/>
      <c r="O334" s="7"/>
      <c r="P334" s="7"/>
      <c r="Q334" s="7"/>
      <c r="R334" s="7"/>
      <c r="S334" s="7"/>
      <c r="T334" s="7"/>
      <c r="U334" s="7"/>
    </row>
    <row r="335" spans="1:21" x14ac:dyDescent="0.2">
      <c r="A335" s="1" t="s">
        <v>546</v>
      </c>
      <c r="B335" s="4"/>
      <c r="D335" s="49">
        <f t="shared" ref="D335:K335" ca="1" si="162">D$74-SUM(D$348,D$357,D$380)</f>
        <v>2.8216399999999986</v>
      </c>
      <c r="E335" s="49">
        <f t="shared" ca="1" si="162"/>
        <v>2.4192399999999985</v>
      </c>
      <c r="F335" s="49">
        <f t="shared" ca="1" si="162"/>
        <v>4.5017199999999988</v>
      </c>
      <c r="G335" s="15">
        <f t="shared" ca="1" si="162"/>
        <v>3.7957999999999998</v>
      </c>
      <c r="H335" s="15">
        <f t="shared" ca="1" si="162"/>
        <v>3.8839599999999947</v>
      </c>
      <c r="I335" s="15">
        <f t="shared" ca="1" si="162"/>
        <v>4.6119999999999948</v>
      </c>
      <c r="J335" s="15">
        <f t="shared" ca="1" si="162"/>
        <v>5.5865200000000002</v>
      </c>
      <c r="K335" s="15">
        <f t="shared" ca="1" si="162"/>
        <v>6.6950399999999988</v>
      </c>
      <c r="L335" s="6">
        <f ca="1">OFFSET(Assumptions!$B$71,0,$C$1)/SUM(OFFSET(Assumptions!$B$71,0,$C$1,6,1))*SUM(L$373,L$69,-L$341,L$448)</f>
        <v>5.1617641187105248</v>
      </c>
      <c r="M335" s="6">
        <f ca="1">OFFSET(Assumptions!$B$71,0,$C$1)/SUM(OFFSET(Assumptions!$B$71,0,$C$1,6,1))*SUM(M$373,M$69,-M$341,M$448)</f>
        <v>5.6514211160122807</v>
      </c>
      <c r="N335" s="6">
        <f ca="1">OFFSET(Assumptions!$B$71,0,$C$1)/SUM(OFFSET(Assumptions!$B$71,0,$C$1,6,1))*SUM(N$373,N$69,-N$341,N$448)</f>
        <v>6.1606884327812566</v>
      </c>
      <c r="O335" s="6">
        <f ca="1">OFFSET(Assumptions!$B$71,0,$C$1)/SUM(OFFSET(Assumptions!$B$71,0,$C$1,6,1))*SUM(O$373,O$69,-O$341,O$448)</f>
        <v>6.6890846165245614</v>
      </c>
      <c r="P335" s="6">
        <f ca="1">OFFSET(Assumptions!$B$71,0,$C$1)/SUM(OFFSET(Assumptions!$B$71,0,$C$1,6,1))*SUM(P$373,P$69,-P$341,P$448)</f>
        <v>7.2364615252405287</v>
      </c>
      <c r="Q335" s="6">
        <f ca="1">OFFSET(Assumptions!$B$71,0,$C$1)/SUM(OFFSET(Assumptions!$B$71,0,$C$1,6,1))*SUM(Q$373,Q$69,-Q$341,Q$448)</f>
        <v>7.7943184670138015</v>
      </c>
      <c r="R335" s="6">
        <f ca="1">OFFSET(Assumptions!$B$71,0,$C$1)/SUM(OFFSET(Assumptions!$B$71,0,$C$1,6,1))*SUM(R$373,R$69,-R$341,R$448)</f>
        <v>8.3627772205905391</v>
      </c>
      <c r="S335" s="6">
        <f ca="1">OFFSET(Assumptions!$B$71,0,$C$1)/SUM(OFFSET(Assumptions!$B$71,0,$C$1,6,1))*SUM(S$373,S$69,-S$341,S$448)</f>
        <v>8.9456874312979018</v>
      </c>
      <c r="T335" s="6">
        <f ca="1">OFFSET(Assumptions!$B$71,0,$C$1)/SUM(OFFSET(Assumptions!$B$71,0,$C$1,6,1))*SUM(T$373,T$69,-T$341,T$448)</f>
        <v>9.5445122776356346</v>
      </c>
      <c r="U335" s="6">
        <f ca="1">OFFSET(Assumptions!$B$71,0,$C$1)/SUM(OFFSET(Assumptions!$B$71,0,$C$1,6,1))*SUM(U$373,U$69,-U$341,U$448)</f>
        <v>10.159586185844153</v>
      </c>
    </row>
    <row r="336" spans="1:21" x14ac:dyDescent="0.2">
      <c r="A336" s="1" t="s">
        <v>547</v>
      </c>
      <c r="B336" s="4" t="str">
        <f t="shared" si="159"/>
        <v>From Fiscal</v>
      </c>
      <c r="D336" s="49">
        <f ca="1">'Fiscal Forecasts'!D$167-D$335</f>
        <v>6.0603600000000011</v>
      </c>
      <c r="E336" s="49">
        <f ca="1">'Fiscal Forecasts'!E$167-E$335</f>
        <v>9.4607600000000023</v>
      </c>
      <c r="F336" s="49">
        <f ca="1">'Fiscal Forecasts'!F$167-F$335</f>
        <v>11.289280000000002</v>
      </c>
      <c r="G336" s="15">
        <f ca="1">'Fiscal Forecasts'!G$167-G$335</f>
        <v>11.392200000000001</v>
      </c>
      <c r="H336" s="15">
        <f ca="1">'Fiscal Forecasts'!H$167-H$335</f>
        <v>10.708040000000004</v>
      </c>
      <c r="I336" s="15">
        <f ca="1">'Fiscal Forecasts'!I$167-I$335</f>
        <v>9.7690000000000055</v>
      </c>
      <c r="J336" s="15">
        <f ca="1">'Fiscal Forecasts'!J$167-J$335</f>
        <v>8.5704799999999999</v>
      </c>
      <c r="K336" s="15">
        <f ca="1">'Fiscal Forecasts'!K$167-K$335</f>
        <v>7.2169600000000003</v>
      </c>
      <c r="L336" s="6">
        <f ca="1">(K$336/K$13+ IF(L$2&gt;0,L$2*IF(L$6=OFFSET(Assumptions!$B$8,0,$C$1),SUMPRODUCT(OFFSET(K$336,0,0,1,-OFFSET(Assumptions!$B$84,0,$C$1)),OFFSET(K$15,0,0,1,-OFFSET(Assumptions!$B$84,0,$C$1)))/OFFSET(Assumptions!$B$84,0,$C$1)-K$336/K$13,(K$336/K$13-J$336/J$13)/K$2),0))*L$13</f>
        <v>8.1605126653224378</v>
      </c>
      <c r="M336" s="6">
        <f ca="1">(L$336/L$13+ IF(M$2&gt;0,M$2*IF(M$6=OFFSET(Assumptions!$B$8,0,$C$1),SUMPRODUCT(OFFSET(L$336,0,0,1,-OFFSET(Assumptions!$B$84,0,$C$1)),OFFSET(L$15,0,0,1,-OFFSET(Assumptions!$B$84,0,$C$1)))/OFFSET(Assumptions!$B$84,0,$C$1)-L$336/L$13,(L$336/L$13-K$336/K$13)/L$2),0))*M$13</f>
        <v>9.0387479835821569</v>
      </c>
      <c r="N336" s="6">
        <f ca="1">(M$336/M$13+ IF(N$2&gt;0,N$2*IF(N$6=OFFSET(Assumptions!$B$8,0,$C$1),SUMPRODUCT(OFFSET(M$336,0,0,1,-OFFSET(Assumptions!$B$84,0,$C$1)),OFFSET(M$15,0,0,1,-OFFSET(Assumptions!$B$84,0,$C$1)))/OFFSET(Assumptions!$B$84,0,$C$1)-M$336/M$13,(M$336/M$13-L$336/L$13)/M$2),0))*N$13</f>
        <v>9.8380260177010825</v>
      </c>
      <c r="O336" s="6">
        <f ca="1">(N$336/N$13+ IF(O$2&gt;0,O$2*IF(O$6=OFFSET(Assumptions!$B$8,0,$C$1),SUMPRODUCT(OFFSET(N$336,0,0,1,-OFFSET(Assumptions!$B$84,0,$C$1)),OFFSET(N$15,0,0,1,-OFFSET(Assumptions!$B$84,0,$C$1)))/OFFSET(Assumptions!$B$84,0,$C$1)-N$336/N$13,(N$336/N$13-M$336/M$13)/N$2),0))*O$13</f>
        <v>10.544354609873519</v>
      </c>
      <c r="P336" s="6">
        <f ca="1">(O$336/O$13+ IF(P$2&gt;0,P$2*IF(P$6=OFFSET(Assumptions!$B$8,0,$C$1),SUMPRODUCT(OFFSET(O$336,0,0,1,-OFFSET(Assumptions!$B$84,0,$C$1)),OFFSET(O$15,0,0,1,-OFFSET(Assumptions!$B$84,0,$C$1)))/OFFSET(Assumptions!$B$84,0,$C$1)-O$336/O$13,(O$336/O$13-N$336/N$13)/O$2),0))*P$13</f>
        <v>11.145277999622978</v>
      </c>
      <c r="Q336" s="6">
        <f ca="1">(P$336/P$13+ IF(Q$2&gt;0,Q$2*IF(Q$6=OFFSET(Assumptions!$B$8,0,$C$1),SUMPRODUCT(OFFSET(P$336,0,0,1,-OFFSET(Assumptions!$B$84,0,$C$1)),OFFSET(P$15,0,0,1,-OFFSET(Assumptions!$B$84,0,$C$1)))/OFFSET(Assumptions!$B$84,0,$C$1)-P$336/P$13,(P$336/P$13-O$336/O$13)/P$2),0))*Q$13</f>
        <v>11.624185721980842</v>
      </c>
      <c r="R336" s="6">
        <f ca="1">(Q$336/Q$13+ IF(R$2&gt;0,R$2*IF(R$6=OFFSET(Assumptions!$B$8,0,$C$1),SUMPRODUCT(OFFSET(Q$336,0,0,1,-OFFSET(Assumptions!$B$84,0,$C$1)),OFFSET(Q$15,0,0,1,-OFFSET(Assumptions!$B$84,0,$C$1)))/OFFSET(Assumptions!$B$84,0,$C$1)-Q$336/Q$13,(Q$336/Q$13-P$336/P$13)/Q$2),0))*R$13</f>
        <v>12.118211965630811</v>
      </c>
      <c r="S336" s="6">
        <f ca="1">(R$336/R$13+ IF(S$2&gt;0,S$2*IF(S$6=OFFSET(Assumptions!$B$8,0,$C$1),SUMPRODUCT(OFFSET(R$336,0,0,1,-OFFSET(Assumptions!$B$84,0,$C$1)),OFFSET(R$15,0,0,1,-OFFSET(Assumptions!$B$84,0,$C$1)))/OFFSET(Assumptions!$B$84,0,$C$1)-R$336/R$13,(R$336/R$13-Q$336/Q$13)/R$2),0))*S$13</f>
        <v>12.628828080999996</v>
      </c>
      <c r="T336" s="6">
        <f ca="1">(S$336/S$13+ IF(T$2&gt;0,T$2*IF(T$6=OFFSET(Assumptions!$B$8,0,$C$1),SUMPRODUCT(OFFSET(S$336,0,0,1,-OFFSET(Assumptions!$B$84,0,$C$1)),OFFSET(S$15,0,0,1,-OFFSET(Assumptions!$B$84,0,$C$1)))/OFFSET(Assumptions!$B$84,0,$C$1)-S$336/S$13,(S$336/S$13-R$336/R$13)/S$2),0))*T$13</f>
        <v>13.1564987180665</v>
      </c>
      <c r="U336" s="6">
        <f ca="1">(T$336/T$13+ IF(U$2&gt;0,U$2*IF(U$6=OFFSET(Assumptions!$B$8,0,$C$1),SUMPRODUCT(OFFSET(T$336,0,0,1,-OFFSET(Assumptions!$B$84,0,$C$1)),OFFSET(T$15,0,0,1,-OFFSET(Assumptions!$B$84,0,$C$1)))/OFFSET(Assumptions!$B$84,0,$C$1)-T$336/T$13,(T$336/T$13-S$336/S$13)/T$2),0))*U$13</f>
        <v>13.702818994211437</v>
      </c>
    </row>
    <row r="337" spans="1:21" ht="15" x14ac:dyDescent="0.25">
      <c r="A337" s="2" t="s">
        <v>548</v>
      </c>
      <c r="B337" s="4"/>
      <c r="D337" s="34">
        <f t="shared" ref="D337:U337" ca="1" si="163">SUM(D$335:D$336)</f>
        <v>8.8819999999999997</v>
      </c>
      <c r="E337" s="34">
        <f t="shared" ca="1" si="163"/>
        <v>11.88</v>
      </c>
      <c r="F337" s="34">
        <f t="shared" ca="1" si="163"/>
        <v>15.791</v>
      </c>
      <c r="G337" s="33">
        <f t="shared" ca="1" si="163"/>
        <v>15.188000000000001</v>
      </c>
      <c r="H337" s="33">
        <f t="shared" ca="1" si="163"/>
        <v>14.591999999999999</v>
      </c>
      <c r="I337" s="33">
        <f t="shared" ca="1" si="163"/>
        <v>14.381</v>
      </c>
      <c r="J337" s="33">
        <f t="shared" ca="1" si="163"/>
        <v>14.157</v>
      </c>
      <c r="K337" s="33">
        <f t="shared" ca="1" si="163"/>
        <v>13.911999999999999</v>
      </c>
      <c r="L337" s="37">
        <f t="shared" ca="1" si="163"/>
        <v>13.322276784032962</v>
      </c>
      <c r="M337" s="37">
        <f t="shared" ca="1" si="163"/>
        <v>14.690169099594439</v>
      </c>
      <c r="N337" s="37">
        <f t="shared" ca="1" si="163"/>
        <v>15.998714450482339</v>
      </c>
      <c r="O337" s="37">
        <f t="shared" ca="1" si="163"/>
        <v>17.23343922639808</v>
      </c>
      <c r="P337" s="37">
        <f t="shared" ca="1" si="163"/>
        <v>18.381739524863505</v>
      </c>
      <c r="Q337" s="37">
        <f t="shared" ca="1" si="163"/>
        <v>19.418504188994643</v>
      </c>
      <c r="R337" s="37">
        <f t="shared" ca="1" si="163"/>
        <v>20.48098918622135</v>
      </c>
      <c r="S337" s="37">
        <f t="shared" ca="1" si="163"/>
        <v>21.5745155122979</v>
      </c>
      <c r="T337" s="37">
        <f t="shared" ca="1" si="163"/>
        <v>22.701010995702134</v>
      </c>
      <c r="U337" s="37">
        <f t="shared" ca="1" si="163"/>
        <v>23.862405180055589</v>
      </c>
    </row>
    <row r="338" spans="1:21" ht="15" x14ac:dyDescent="0.25">
      <c r="A338" s="2" t="s">
        <v>549</v>
      </c>
      <c r="B338" s="4" t="str">
        <f>$B$37</f>
        <v>From Fiscal</v>
      </c>
      <c r="D338" s="39">
        <f>'Fiscal Forecasts'!D$114</f>
        <v>11.981999999999999</v>
      </c>
      <c r="E338" s="39">
        <f>'Fiscal Forecasts'!E$114</f>
        <v>15.617000000000001</v>
      </c>
      <c r="F338" s="39">
        <f>'Fiscal Forecasts'!F$114</f>
        <v>18.731999999999999</v>
      </c>
      <c r="G338" s="38">
        <f>'Fiscal Forecasts'!G$114</f>
        <v>18.068000000000001</v>
      </c>
      <c r="H338" s="38">
        <f>'Fiscal Forecasts'!H$114</f>
        <v>16.975999999999999</v>
      </c>
      <c r="I338" s="38">
        <f>'Fiscal Forecasts'!I$114</f>
        <v>16.87</v>
      </c>
      <c r="J338" s="38">
        <f>'Fiscal Forecasts'!J$114</f>
        <v>16.974</v>
      </c>
      <c r="K338" s="38">
        <f>'Fiscal Forecasts'!K$114</f>
        <v>16.704999999999998</v>
      </c>
      <c r="L338" s="7">
        <f ca="1">SUM(L$337,((K$338-K$337)/K$13+ IF(L$2&gt;0,L$2*IF(L$6=OFFSET(Assumptions!$B$8,0,$C$1),(SUMPRODUCT(OFFSET(K$338,0,0,1,-OFFSET(Assumptions!$B$84,0,$C$1)),OFFSET(K$15,0,0,1,-OFFSET(Assumptions!$B$84,0,$C$1)))-SUMPRODUCT(OFFSET(K$337,0,0,1,-OFFSET(Assumptions!$B$84,0,$C$1)),OFFSET(K$15,0,0,1,-OFFSET(Assumptions!$B$84,0,$C$1))))/OFFSET(Assumptions!$B$84,0,$C$1)-(K$338-K$337)/K$13,((K$338-K$337)/K$13-(J$338-J$337)/J$13)/K$2),0))*L$13)</f>
        <v>16.255428314680405</v>
      </c>
      <c r="M338" s="7">
        <f ca="1">SUM(M$337,((L$338-L$337)/L$13+ IF(M$2&gt;0,M$2*IF(M$6=OFFSET(Assumptions!$B$8,0,$C$1),(SUMPRODUCT(OFFSET(L$338,0,0,1,-OFFSET(Assumptions!$B$84,0,$C$1)),OFFSET(L$15,0,0,1,-OFFSET(Assumptions!$B$84,0,$C$1)))-SUMPRODUCT(OFFSET(L$337,0,0,1,-OFFSET(Assumptions!$B$84,0,$C$1)),OFFSET(L$15,0,0,1,-OFFSET(Assumptions!$B$84,0,$C$1))))/OFFSET(Assumptions!$B$84,0,$C$1)-(L$338-L$337)/L$13,((L$338-L$337)/L$13-(K$338-K$337)/K$13)/L$2),0))*M$13)</f>
        <v>17.764728621910365</v>
      </c>
      <c r="N338" s="7">
        <f ca="1">SUM(N$337,((M$338-M$337)/M$13+ IF(N$2&gt;0,N$2*IF(N$6=OFFSET(Assumptions!$B$8,0,$C$1),(SUMPRODUCT(OFFSET(M$338,0,0,1,-OFFSET(Assumptions!$B$84,0,$C$1)),OFFSET(M$15,0,0,1,-OFFSET(Assumptions!$B$84,0,$C$1)))-SUMPRODUCT(OFFSET(M$337,0,0,1,-OFFSET(Assumptions!$B$84,0,$C$1)),OFFSET(M$15,0,0,1,-OFFSET(Assumptions!$B$84,0,$C$1))))/OFFSET(Assumptions!$B$84,0,$C$1)-(M$338-M$337)/M$13,((M$338-M$337)/M$13-(L$338-L$337)/L$13)/M$2),0))*N$13)</f>
        <v>19.216278565837683</v>
      </c>
      <c r="O338" s="7">
        <f ca="1">SUM(O$337,((N$338-N$337)/N$13+ IF(O$2&gt;0,O$2*IF(O$6=OFFSET(Assumptions!$B$8,0,$C$1),(SUMPRODUCT(OFFSET(N$338,0,0,1,-OFFSET(Assumptions!$B$84,0,$C$1)),OFFSET(N$15,0,0,1,-OFFSET(Assumptions!$B$84,0,$C$1)))-SUMPRODUCT(OFFSET(N$337,0,0,1,-OFFSET(Assumptions!$B$84,0,$C$1)),OFFSET(N$15,0,0,1,-OFFSET(Assumptions!$B$84,0,$C$1))))/OFFSET(Assumptions!$B$84,0,$C$1)-(N$338-N$337)/N$13,((N$338-N$337)/N$13-(M$338-M$337)/M$13)/N$2),0))*O$13)</f>
        <v>20.595951441240754</v>
      </c>
      <c r="P338" s="7">
        <f ca="1">SUM(P$337,((O$338-O$337)/O$13+ IF(P$2&gt;0,P$2*IF(P$6=OFFSET(Assumptions!$B$8,0,$C$1),(SUMPRODUCT(OFFSET(O$338,0,0,1,-OFFSET(Assumptions!$B$84,0,$C$1)),OFFSET(O$15,0,0,1,-OFFSET(Assumptions!$B$84,0,$C$1)))-SUMPRODUCT(OFFSET(O$337,0,0,1,-OFFSET(Assumptions!$B$84,0,$C$1)),OFFSET(O$15,0,0,1,-OFFSET(Assumptions!$B$84,0,$C$1))))/OFFSET(Assumptions!$B$84,0,$C$1)-(O$338-O$337)/O$13,((O$338-O$337)/O$13-(N$338-N$337)/N$13)/O$2),0))*P$13)</f>
        <v>21.892161706600902</v>
      </c>
      <c r="Q338" s="7">
        <f ca="1">SUM(Q$337,((P$338-P$337)/P$13+ IF(Q$2&gt;0,Q$2*IF(Q$6=OFFSET(Assumptions!$B$8,0,$C$1),(SUMPRODUCT(OFFSET(P$338,0,0,1,-OFFSET(Assumptions!$B$84,0,$C$1)),OFFSET(P$15,0,0,1,-OFFSET(Assumptions!$B$84,0,$C$1)))-SUMPRODUCT(OFFSET(P$337,0,0,1,-OFFSET(Assumptions!$B$84,0,$C$1)),OFFSET(P$15,0,0,1,-OFFSET(Assumptions!$B$84,0,$C$1))))/OFFSET(Assumptions!$B$84,0,$C$1)-(P$338-P$337)/P$13,((P$338-P$337)/P$13-(O$338-O$337)/O$13)/P$2),0))*Q$13)</f>
        <v>23.07976767694506</v>
      </c>
      <c r="R338" s="7">
        <f ca="1">SUM(R$337,((Q$338-Q$337)/Q$13+ IF(R$2&gt;0,R$2*IF(R$6=OFFSET(Assumptions!$B$8,0,$C$1),(SUMPRODUCT(OFFSET(Q$338,0,0,1,-OFFSET(Assumptions!$B$84,0,$C$1)),OFFSET(Q$15,0,0,1,-OFFSET(Assumptions!$B$84,0,$C$1)))-SUMPRODUCT(OFFSET(Q$337,0,0,1,-OFFSET(Assumptions!$B$84,0,$C$1)),OFFSET(Q$15,0,0,1,-OFFSET(Assumptions!$B$84,0,$C$1))))/OFFSET(Assumptions!$B$84,0,$C$1)-(Q$338-Q$337)/Q$13,((Q$338-Q$337)/Q$13-(P$338-P$337)/P$13)/Q$2),0))*R$13)</f>
        <v>24.29785585285676</v>
      </c>
      <c r="S338" s="7">
        <f ca="1">SUM(S$337,((R$338-R$337)/R$13+ IF(S$2&gt;0,S$2*IF(S$6=OFFSET(Assumptions!$B$8,0,$C$1),(SUMPRODUCT(OFFSET(R$338,0,0,1,-OFFSET(Assumptions!$B$84,0,$C$1)),OFFSET(R$15,0,0,1,-OFFSET(Assumptions!$B$84,0,$C$1)))-SUMPRODUCT(OFFSET(R$337,0,0,1,-OFFSET(Assumptions!$B$84,0,$C$1)),OFFSET(R$15,0,0,1,-OFFSET(Assumptions!$B$84,0,$C$1))))/OFFSET(Assumptions!$B$84,0,$C$1)-(R$338-R$337)/R$13,((R$338-R$337)/R$13-(Q$338-Q$337)/Q$13)/R$2),0))*S$13)</f>
        <v>25.552210660538272</v>
      </c>
      <c r="T338" s="7">
        <f ca="1">SUM(T$337,((S$338-S$337)/S$13+ IF(T$2&gt;0,T$2*IF(T$6=OFFSET(Assumptions!$B$8,0,$C$1),(SUMPRODUCT(OFFSET(S$338,0,0,1,-OFFSET(Assumptions!$B$84,0,$C$1)),OFFSET(S$15,0,0,1,-OFFSET(Assumptions!$B$84,0,$C$1)))-SUMPRODUCT(OFFSET(S$337,0,0,1,-OFFSET(Assumptions!$B$84,0,$C$1)),OFFSET(S$15,0,0,1,-OFFSET(Assumptions!$B$84,0,$C$1))))/OFFSET(Assumptions!$B$84,0,$C$1)-(S$338-S$337)/S$13,((S$338-S$337)/S$13-(R$338-R$337)/R$13)/S$2),0))*T$13)</f>
        <v>26.844906279019661</v>
      </c>
      <c r="U338" s="7">
        <f ca="1">SUM(U$337,((T$338-T$337)/T$13+ IF(U$2&gt;0,U$2*IF(U$6=OFFSET(Assumptions!$B$8,0,$C$1),(SUMPRODUCT(OFFSET(T$338,0,0,1,-OFFSET(Assumptions!$B$84,0,$C$1)),OFFSET(T$15,0,0,1,-OFFSET(Assumptions!$B$84,0,$C$1)))-SUMPRODUCT(OFFSET(T$337,0,0,1,-OFFSET(Assumptions!$B$84,0,$C$1)),OFFSET(T$15,0,0,1,-OFFSET(Assumptions!$B$84,0,$C$1))))/OFFSET(Assumptions!$B$84,0,$C$1)-(T$338-T$337)/T$13,((T$338-T$337)/T$13-(S$338-S$337)/S$13)/T$2),0))*U$13)</f>
        <v>28.178374665181</v>
      </c>
    </row>
    <row r="339" spans="1:21" ht="15" x14ac:dyDescent="0.25">
      <c r="A339" s="2"/>
      <c r="B339" s="4"/>
      <c r="D339" s="7"/>
      <c r="E339" s="7"/>
      <c r="F339" s="7"/>
      <c r="G339" s="7"/>
      <c r="H339" s="7"/>
      <c r="I339" s="7"/>
      <c r="J339" s="7"/>
      <c r="K339" s="7"/>
      <c r="L339" s="7"/>
      <c r="M339" s="7"/>
      <c r="N339" s="7"/>
      <c r="O339" s="7"/>
      <c r="P339" s="7"/>
      <c r="Q339" s="7"/>
      <c r="R339" s="7"/>
      <c r="S339" s="7"/>
      <c r="T339" s="7"/>
      <c r="U339" s="7"/>
    </row>
    <row r="340" spans="1:21" ht="15" x14ac:dyDescent="0.25">
      <c r="A340" s="18" t="s">
        <v>213</v>
      </c>
      <c r="B340" s="4"/>
      <c r="D340" s="56"/>
      <c r="E340" s="56"/>
      <c r="F340" s="56"/>
      <c r="G340" s="56"/>
      <c r="H340" s="56"/>
      <c r="I340" s="56"/>
      <c r="J340" s="56"/>
      <c r="K340" s="56"/>
      <c r="L340" s="56"/>
      <c r="M340" s="56"/>
      <c r="N340" s="56"/>
      <c r="O340" s="56"/>
      <c r="P340" s="56"/>
      <c r="Q340" s="56"/>
      <c r="R340" s="56"/>
      <c r="S340" s="56"/>
      <c r="T340" s="56"/>
      <c r="U340" s="56"/>
    </row>
    <row r="341" spans="1:21" x14ac:dyDescent="0.2">
      <c r="A341" s="1" t="s">
        <v>550</v>
      </c>
      <c r="B341" s="4"/>
      <c r="D341" s="14">
        <f t="shared" ref="D341:K341" si="164">D$375-D$74</f>
        <v>1.5050000000000026</v>
      </c>
      <c r="E341" s="14">
        <f t="shared" si="164"/>
        <v>0.78300000000000125</v>
      </c>
      <c r="F341" s="14">
        <f t="shared" si="164"/>
        <v>1.4840000000000018</v>
      </c>
      <c r="G341" s="15">
        <f t="shared" si="164"/>
        <v>1.4909999999999997</v>
      </c>
      <c r="H341" s="15">
        <f t="shared" si="164"/>
        <v>1.6510000000000034</v>
      </c>
      <c r="I341" s="15">
        <f t="shared" si="164"/>
        <v>1.5349999999999966</v>
      </c>
      <c r="J341" s="15">
        <f t="shared" si="164"/>
        <v>1.3350000000000009</v>
      </c>
      <c r="K341" s="15">
        <f t="shared" si="164"/>
        <v>1.0180000000000007</v>
      </c>
      <c r="L341" s="6">
        <f ca="1">SUM(K$341,L$448-K$448)</f>
        <v>1.1828896574778438</v>
      </c>
      <c r="M341" s="6">
        <f t="shared" ref="M341:U341" ca="1" si="165">SUM(L$341,M$448-L$448)</f>
        <v>1.3561256982629237</v>
      </c>
      <c r="N341" s="6">
        <f t="shared" ca="1" si="165"/>
        <v>1.5368974164732547</v>
      </c>
      <c r="O341" s="6">
        <f t="shared" ca="1" si="165"/>
        <v>1.7244405829861917</v>
      </c>
      <c r="P341" s="6">
        <f t="shared" ca="1" si="165"/>
        <v>1.9187077941877031</v>
      </c>
      <c r="Q341" s="6">
        <f t="shared" ca="1" si="165"/>
        <v>2.1165589504401776</v>
      </c>
      <c r="R341" s="6">
        <f t="shared" ca="1" si="165"/>
        <v>2.3181689931060716</v>
      </c>
      <c r="S341" s="6">
        <f t="shared" ca="1" si="165"/>
        <v>2.5249591199345329</v>
      </c>
      <c r="T341" s="6">
        <f t="shared" ca="1" si="165"/>
        <v>2.7374113711401966</v>
      </c>
      <c r="U341" s="6">
        <f t="shared" ca="1" si="165"/>
        <v>2.9556270074165063</v>
      </c>
    </row>
    <row r="342" spans="1:21" x14ac:dyDescent="0.2">
      <c r="A342" s="1" t="s">
        <v>347</v>
      </c>
      <c r="B342" s="4" t="str">
        <f>$B$37</f>
        <v>From Fiscal</v>
      </c>
      <c r="D342" s="14">
        <f>'Fiscal Forecasts'!D$303</f>
        <v>8.9570000000000007</v>
      </c>
      <c r="E342" s="14">
        <f>'Fiscal Forecasts'!E$303</f>
        <v>9.1609999999999996</v>
      </c>
      <c r="F342" s="14">
        <f>'Fiscal Forecasts'!F$303</f>
        <v>10.313000000000001</v>
      </c>
      <c r="G342" s="15">
        <f>'Fiscal Forecasts'!G$303</f>
        <v>10.507</v>
      </c>
      <c r="H342" s="15">
        <f>'Fiscal Forecasts'!H$303</f>
        <v>11.148</v>
      </c>
      <c r="I342" s="15">
        <f>'Fiscal Forecasts'!I$303</f>
        <v>11.704000000000001</v>
      </c>
      <c r="J342" s="15">
        <f>'Fiscal Forecasts'!J$303</f>
        <v>12.391999999999999</v>
      </c>
      <c r="K342" s="15">
        <f>'Fiscal Forecasts'!K$303</f>
        <v>13.061999999999999</v>
      </c>
      <c r="L342" s="6">
        <f ca="1">K$342*L$132/K$132</f>
        <v>13.625219805934995</v>
      </c>
      <c r="M342" s="6">
        <f t="shared" ref="M342:U342" ca="1" si="166">L$342*M$132/L$132</f>
        <v>14.294198796136344</v>
      </c>
      <c r="N342" s="6">
        <f t="shared" ca="1" si="166"/>
        <v>14.93112412774324</v>
      </c>
      <c r="O342" s="6">
        <f t="shared" ca="1" si="166"/>
        <v>15.584358524344808</v>
      </c>
      <c r="P342" s="6">
        <f t="shared" ca="1" si="166"/>
        <v>16.259775463700404</v>
      </c>
      <c r="Q342" s="6">
        <f t="shared" ca="1" si="166"/>
        <v>16.958450905769631</v>
      </c>
      <c r="R342" s="6">
        <f t="shared" ca="1" si="166"/>
        <v>17.679182662769826</v>
      </c>
      <c r="S342" s="6">
        <f t="shared" ca="1" si="166"/>
        <v>18.424117278517475</v>
      </c>
      <c r="T342" s="6">
        <f t="shared" ca="1" si="166"/>
        <v>19.193932627921885</v>
      </c>
      <c r="U342" s="6">
        <f t="shared" ca="1" si="166"/>
        <v>19.990955817624645</v>
      </c>
    </row>
    <row r="343" spans="1:21" x14ac:dyDescent="0.2">
      <c r="A343" s="1" t="s">
        <v>551</v>
      </c>
      <c r="B343" s="4" t="str">
        <f>$B$37</f>
        <v>From Fiscal</v>
      </c>
      <c r="D343" s="14">
        <f>'Fiscal Forecasts'!D$168-SUM(D$341:D$342)</f>
        <v>1.8589999999999964</v>
      </c>
      <c r="E343" s="14">
        <f>'Fiscal Forecasts'!E$168-SUM(E$341:E$342)</f>
        <v>2.2769999999999992</v>
      </c>
      <c r="F343" s="14">
        <f>'Fiscal Forecasts'!F$168-SUM(F$341:F$342)</f>
        <v>2.0289999999999981</v>
      </c>
      <c r="G343" s="15">
        <f>'Fiscal Forecasts'!G$168-SUM(G$341:G$342)</f>
        <v>1.8800000000000008</v>
      </c>
      <c r="H343" s="15">
        <f>'Fiscal Forecasts'!H$168-SUM(H$341:H$342)</f>
        <v>1.9479999999999968</v>
      </c>
      <c r="I343" s="15">
        <f>'Fiscal Forecasts'!I$168-SUM(I$341:I$342)</f>
        <v>2.0180000000000025</v>
      </c>
      <c r="J343" s="15">
        <f>'Fiscal Forecasts'!J$168-SUM(J$341:J$342)</f>
        <v>2.0799999999999983</v>
      </c>
      <c r="K343" s="15">
        <f>'Fiscal Forecasts'!K$168-SUM(K$341:K$342)</f>
        <v>2.1549999999999994</v>
      </c>
      <c r="L343" s="6">
        <f ca="1">SUM(K$343,L$450-K$450,L$470-K$470)</f>
        <v>2.3744805516447762</v>
      </c>
      <c r="M343" s="6">
        <f t="shared" ref="M343:U343" ca="1" si="167">SUM(L$343,M$450-L$450,M$470-L$470)</f>
        <v>2.5990501402361317</v>
      </c>
      <c r="N343" s="6">
        <f t="shared" ca="1" si="167"/>
        <v>2.8289178253653717</v>
      </c>
      <c r="O343" s="6">
        <f t="shared" ca="1" si="167"/>
        <v>3.0638161479838564</v>
      </c>
      <c r="P343" s="6">
        <f t="shared" ca="1" si="167"/>
        <v>3.303401443286992</v>
      </c>
      <c r="Q343" s="6">
        <f t="shared" ca="1" si="167"/>
        <v>3.5478031145109545</v>
      </c>
      <c r="R343" s="6">
        <f t="shared" ca="1" si="167"/>
        <v>3.796572557383056</v>
      </c>
      <c r="S343" s="6">
        <f t="shared" ca="1" si="167"/>
        <v>4.0495940553087291</v>
      </c>
      <c r="T343" s="6">
        <f t="shared" ca="1" si="167"/>
        <v>4.3071374228425796</v>
      </c>
      <c r="U343" s="6">
        <f t="shared" ca="1" si="167"/>
        <v>4.5686060657298517</v>
      </c>
    </row>
    <row r="344" spans="1:21" ht="15" x14ac:dyDescent="0.25">
      <c r="A344" s="2" t="s">
        <v>552</v>
      </c>
      <c r="B344" s="4"/>
      <c r="D344" s="34">
        <f t="shared" ref="D344:U344" si="168">SUM(D$341:D$343)</f>
        <v>12.321</v>
      </c>
      <c r="E344" s="34">
        <f t="shared" si="168"/>
        <v>12.221</v>
      </c>
      <c r="F344" s="34">
        <f t="shared" si="168"/>
        <v>13.826000000000001</v>
      </c>
      <c r="G344" s="33">
        <f t="shared" si="168"/>
        <v>13.878</v>
      </c>
      <c r="H344" s="33">
        <f t="shared" si="168"/>
        <v>14.747</v>
      </c>
      <c r="I344" s="33">
        <f t="shared" si="168"/>
        <v>15.257</v>
      </c>
      <c r="J344" s="33">
        <f t="shared" si="168"/>
        <v>15.806999999999999</v>
      </c>
      <c r="K344" s="33">
        <f t="shared" si="168"/>
        <v>16.234999999999999</v>
      </c>
      <c r="L344" s="37">
        <f t="shared" ca="1" si="168"/>
        <v>17.182590015057613</v>
      </c>
      <c r="M344" s="37">
        <f t="shared" ca="1" si="168"/>
        <v>18.249374634635398</v>
      </c>
      <c r="N344" s="37">
        <f t="shared" ca="1" si="168"/>
        <v>19.296939369581867</v>
      </c>
      <c r="O344" s="37">
        <f t="shared" ca="1" si="168"/>
        <v>20.372615255314855</v>
      </c>
      <c r="P344" s="37">
        <f t="shared" ca="1" si="168"/>
        <v>21.481884701175098</v>
      </c>
      <c r="Q344" s="37">
        <f t="shared" ca="1" si="168"/>
        <v>22.622812970720766</v>
      </c>
      <c r="R344" s="37">
        <f t="shared" ca="1" si="168"/>
        <v>23.793924213258951</v>
      </c>
      <c r="S344" s="37">
        <f t="shared" ca="1" si="168"/>
        <v>24.998670453760738</v>
      </c>
      <c r="T344" s="37">
        <f t="shared" ca="1" si="168"/>
        <v>26.238481421904662</v>
      </c>
      <c r="U344" s="37">
        <f t="shared" ca="1" si="168"/>
        <v>27.515188890771004</v>
      </c>
    </row>
    <row r="345" spans="1:21" ht="15" x14ac:dyDescent="0.25">
      <c r="A345" s="2" t="s">
        <v>553</v>
      </c>
      <c r="B345" s="4" t="str">
        <f>$B$37</f>
        <v>From Fiscal</v>
      </c>
      <c r="D345" s="39">
        <f>'Fiscal Forecasts'!D$115</f>
        <v>17.602</v>
      </c>
      <c r="E345" s="39">
        <f>'Fiscal Forecasts'!E$115</f>
        <v>16.789000000000001</v>
      </c>
      <c r="F345" s="39">
        <f>'Fiscal Forecasts'!F$115</f>
        <v>18.529</v>
      </c>
      <c r="G345" s="38">
        <f>'Fiscal Forecasts'!G$115</f>
        <v>19.317</v>
      </c>
      <c r="H345" s="38">
        <f>'Fiscal Forecasts'!H$115</f>
        <v>20.77</v>
      </c>
      <c r="I345" s="38">
        <f>'Fiscal Forecasts'!I$115</f>
        <v>21.844000000000001</v>
      </c>
      <c r="J345" s="38">
        <f>'Fiscal Forecasts'!J$115</f>
        <v>23.48</v>
      </c>
      <c r="K345" s="38">
        <f>'Fiscal Forecasts'!K$115</f>
        <v>24.757000000000001</v>
      </c>
      <c r="L345" s="7">
        <f ca="1">K$345+L$344-K$344+L$452-L$451-(K$452-K$451)+L$471-L$470-(K$471-K$470)</f>
        <v>25.919482019965827</v>
      </c>
      <c r="M345" s="7">
        <f t="shared" ref="M345:U345" ca="1" si="169">L$345+M$344-L$344+M$452-M$451-(L$452-L$451)+M$471-M$470-(L$471-L$470)</f>
        <v>27.20614128799042</v>
      </c>
      <c r="N345" s="7">
        <f t="shared" ca="1" si="169"/>
        <v>28.478768003831561</v>
      </c>
      <c r="O345" s="7">
        <f t="shared" ca="1" si="169"/>
        <v>29.784431335462514</v>
      </c>
      <c r="P345" s="7">
        <f t="shared" ca="1" si="169"/>
        <v>31.12827721221101</v>
      </c>
      <c r="Q345" s="7">
        <f t="shared" ca="1" si="169"/>
        <v>32.508497595516424</v>
      </c>
      <c r="R345" s="7">
        <f t="shared" ca="1" si="169"/>
        <v>33.923177409110529</v>
      </c>
      <c r="S345" s="7">
        <f t="shared" ca="1" si="169"/>
        <v>35.375655380586487</v>
      </c>
      <c r="T345" s="7">
        <f t="shared" ca="1" si="169"/>
        <v>36.867625413328227</v>
      </c>
      <c r="U345" s="7">
        <f t="shared" ca="1" si="169"/>
        <v>38.400335158795428</v>
      </c>
    </row>
    <row r="346" spans="1:21" ht="15" x14ac:dyDescent="0.25">
      <c r="A346" s="2"/>
      <c r="B346" s="4"/>
      <c r="D346" s="6"/>
      <c r="E346" s="6"/>
      <c r="F346" s="6"/>
      <c r="L346" s="7"/>
    </row>
    <row r="347" spans="1:21" ht="15" x14ac:dyDescent="0.25">
      <c r="A347" s="18" t="s">
        <v>214</v>
      </c>
      <c r="B347" s="4"/>
      <c r="D347" s="39"/>
      <c r="E347" s="39"/>
      <c r="F347" s="39"/>
      <c r="G347" s="38"/>
      <c r="H347" s="38"/>
      <c r="I347" s="38"/>
      <c r="J347" s="38"/>
      <c r="K347" s="38"/>
      <c r="L347" s="7"/>
      <c r="M347" s="7"/>
      <c r="N347" s="7"/>
      <c r="O347" s="7"/>
      <c r="P347" s="7"/>
      <c r="Q347" s="7"/>
      <c r="R347" s="7"/>
      <c r="S347" s="7"/>
      <c r="T347" s="7"/>
      <c r="U347" s="7"/>
    </row>
    <row r="348" spans="1:21" x14ac:dyDescent="0.2">
      <c r="A348" s="1" t="s">
        <v>558</v>
      </c>
      <c r="B348" s="4"/>
      <c r="D348" s="14">
        <f ca="1">OFFSET(Assumptions!$B$72,0,$C$1)*D$373</f>
        <v>12.694460000000001</v>
      </c>
      <c r="E348" s="14">
        <f ca="1">OFFSET(Assumptions!$B$72,0,$C$1)*E$373</f>
        <v>12.69661</v>
      </c>
      <c r="F348" s="14">
        <f ca="1">OFFSET(Assumptions!$B$72,0,$C$1)*F$373</f>
        <v>14.837579999999999</v>
      </c>
      <c r="G348" s="15">
        <f ca="1">OFFSET(Assumptions!$B$72,0,$C$1)*G$373</f>
        <v>16.711950000000002</v>
      </c>
      <c r="H348" s="15">
        <f ca="1">OFFSET(Assumptions!$B$72,0,$C$1)*H$373</f>
        <v>18.256940000000004</v>
      </c>
      <c r="I348" s="15">
        <f ca="1">OFFSET(Assumptions!$B$72,0,$C$1)*I$373</f>
        <v>20.124000000000002</v>
      </c>
      <c r="J348" s="15">
        <f ca="1">OFFSET(Assumptions!$B$72,0,$C$1)*J$373</f>
        <v>22.422779999999999</v>
      </c>
      <c r="K348" s="15">
        <f ca="1">OFFSET(Assumptions!$B$72,0,$C$1)*K$373</f>
        <v>25.011810000000001</v>
      </c>
      <c r="L348" s="6">
        <f ca="1">OFFSET(Assumptions!$B$72,0,$C$1)/SUM(OFFSET(Assumptions!$B$71,0,$C$1,6,1))*SUM(L$373,L$69,-L$341,L$448)</f>
        <v>27.744482138069067</v>
      </c>
      <c r="M348" s="6">
        <f ca="1">OFFSET(Assumptions!$B$72,0,$C$1)/SUM(OFFSET(Assumptions!$B$71,0,$C$1,6,1))*SUM(M$373,M$69,-M$341,M$448)</f>
        <v>30.376388498566005</v>
      </c>
      <c r="N348" s="6">
        <f ca="1">OFFSET(Assumptions!$B$72,0,$C$1)/SUM(OFFSET(Assumptions!$B$71,0,$C$1,6,1))*SUM(N$373,N$69,-N$341,N$448)</f>
        <v>33.11370032619925</v>
      </c>
      <c r="O348" s="6">
        <f ca="1">OFFSET(Assumptions!$B$72,0,$C$1)/SUM(OFFSET(Assumptions!$B$71,0,$C$1,6,1))*SUM(O$373,O$69,-O$341,O$448)</f>
        <v>35.95382981381951</v>
      </c>
      <c r="P348" s="6">
        <f ca="1">OFFSET(Assumptions!$B$72,0,$C$1)/SUM(OFFSET(Assumptions!$B$71,0,$C$1,6,1))*SUM(P$373,P$69,-P$341,P$448)</f>
        <v>38.89598069816784</v>
      </c>
      <c r="Q348" s="6">
        <f ca="1">OFFSET(Assumptions!$B$72,0,$C$1)/SUM(OFFSET(Assumptions!$B$71,0,$C$1,6,1))*SUM(Q$373,Q$69,-Q$341,Q$448)</f>
        <v>41.894461760199178</v>
      </c>
      <c r="R348" s="6">
        <f ca="1">OFFSET(Assumptions!$B$72,0,$C$1)/SUM(OFFSET(Assumptions!$B$71,0,$C$1,6,1))*SUM(R$373,R$69,-R$341,R$448)</f>
        <v>44.949927560674141</v>
      </c>
      <c r="S348" s="6">
        <f ca="1">OFFSET(Assumptions!$B$72,0,$C$1)/SUM(OFFSET(Assumptions!$B$71,0,$C$1,6,1))*SUM(S$373,S$69,-S$341,S$448)</f>
        <v>48.083069943226214</v>
      </c>
      <c r="T348" s="6">
        <f ca="1">OFFSET(Assumptions!$B$72,0,$C$1)/SUM(OFFSET(Assumptions!$B$71,0,$C$1,6,1))*SUM(T$373,T$69,-T$341,T$448)</f>
        <v>51.301753492291532</v>
      </c>
      <c r="U348" s="6">
        <f ca="1">OFFSET(Assumptions!$B$72,0,$C$1)/SUM(OFFSET(Assumptions!$B$71,0,$C$1,6,1))*SUM(U$373,U$69,-U$341,U$448)</f>
        <v>54.607775748912317</v>
      </c>
    </row>
    <row r="349" spans="1:21" x14ac:dyDescent="0.2">
      <c r="A349" s="1" t="s">
        <v>559</v>
      </c>
      <c r="B349" s="4" t="str">
        <f>$B$37</f>
        <v>From Fiscal</v>
      </c>
      <c r="D349" s="14">
        <f ca="1">'Fiscal Forecasts'!D$169-D$348</f>
        <v>24.395540000000004</v>
      </c>
      <c r="E349" s="14">
        <f ca="1">'Fiscal Forecasts'!E$169-E$348</f>
        <v>21.689390000000003</v>
      </c>
      <c r="F349" s="14">
        <f ca="1">'Fiscal Forecasts'!F$169-F$348</f>
        <v>17.288419999999999</v>
      </c>
      <c r="G349" s="15">
        <f ca="1">'Fiscal Forecasts'!G$169-G$348</f>
        <v>16.149049999999995</v>
      </c>
      <c r="H349" s="15">
        <f ca="1">'Fiscal Forecasts'!H$169-H$348</f>
        <v>6.381059999999998</v>
      </c>
      <c r="I349" s="15">
        <f ca="1">'Fiscal Forecasts'!I$169-I$348</f>
        <v>6.5139999999999993</v>
      </c>
      <c r="J349" s="15">
        <f ca="1">'Fiscal Forecasts'!J$169-J$348</f>
        <v>3.209220000000002</v>
      </c>
      <c r="K349" s="15">
        <f ca="1">'Fiscal Forecasts'!K$169-K$348</f>
        <v>8.4161899999999967</v>
      </c>
      <c r="L349" s="6">
        <f ca="1">(K$349/K$13+ IF(L$2&gt;0,L$2*IF(L$6=OFFSET(Assumptions!$B$8,0,$C$1),SUMPRODUCT(OFFSET(K$349,0,0,1,-OFFSET(Assumptions!$B$84,0,$C$1)),OFFSET(K$15,0,0,1,-OFFSET(Assumptions!$B$84,0,$C$1)))/OFFSET(Assumptions!$B$84,0,$C$1)-K$349/K$13,(K$349/K$13-J$349/J$13)/K$2),0))*L$13</f>
        <v>8.0713627613695813</v>
      </c>
      <c r="M349" s="6">
        <f ca="1">(L$349/L$13+ IF(M$2&gt;0,M$2*IF(M$6=OFFSET(Assumptions!$B$8,0,$C$1),SUMPRODUCT(OFFSET(L$349,0,0,1,-OFFSET(Assumptions!$B$84,0,$C$1)),OFFSET(L$15,0,0,1,-OFFSET(Assumptions!$B$84,0,$C$1)))/OFFSET(Assumptions!$B$84,0,$C$1)-L$349/L$13,(L$349/L$13-K$349/K$13)/L$2),0))*M$13</f>
        <v>7.8207893444767098</v>
      </c>
      <c r="N349" s="6">
        <f ca="1">(M$349/M$13+ IF(N$2&gt;0,N$2*IF(N$6=OFFSET(Assumptions!$B$8,0,$C$1),SUMPRODUCT(OFFSET(M$349,0,0,1,-OFFSET(Assumptions!$B$84,0,$C$1)),OFFSET(M$15,0,0,1,-OFFSET(Assumptions!$B$84,0,$C$1)))/OFFSET(Assumptions!$B$84,0,$C$1)-M$349/M$13,(M$349/M$13-L$349/L$13)/M$2),0))*N$13</f>
        <v>7.6846517905685578</v>
      </c>
      <c r="O349" s="6">
        <f ca="1">(N$349/N$13+ IF(O$2&gt;0,O$2*IF(O$6=OFFSET(Assumptions!$B$8,0,$C$1),SUMPRODUCT(OFFSET(N$349,0,0,1,-OFFSET(Assumptions!$B$84,0,$C$1)),OFFSET(N$15,0,0,1,-OFFSET(Assumptions!$B$84,0,$C$1)))/OFFSET(Assumptions!$B$84,0,$C$1)-N$349/N$13,(N$349/N$13-M$349/M$13)/N$2),0))*O$13</f>
        <v>7.6836403316063526</v>
      </c>
      <c r="P349" s="6">
        <f ca="1">(O$349/O$13+ IF(P$2&gt;0,P$2*IF(P$6=OFFSET(Assumptions!$B$8,0,$C$1),SUMPRODUCT(OFFSET(O$349,0,0,1,-OFFSET(Assumptions!$B$84,0,$C$1)),OFFSET(O$15,0,0,1,-OFFSET(Assumptions!$B$84,0,$C$1)))/OFFSET(Assumptions!$B$84,0,$C$1)-O$349/O$13,(O$349/O$13-N$349/N$13)/O$2),0))*P$13</f>
        <v>7.8407305642381315</v>
      </c>
      <c r="Q349" s="6">
        <f ca="1">(P$349/P$13+ IF(Q$2&gt;0,Q$2*IF(Q$6=OFFSET(Assumptions!$B$8,0,$C$1),SUMPRODUCT(OFFSET(P$349,0,0,1,-OFFSET(Assumptions!$B$84,0,$C$1)),OFFSET(P$15,0,0,1,-OFFSET(Assumptions!$B$84,0,$C$1)))/OFFSET(Assumptions!$B$84,0,$C$1)-P$349/P$13,(P$349/P$13-O$349/O$13)/P$2),0))*Q$13</f>
        <v>8.1776433282147689</v>
      </c>
      <c r="R349" s="6">
        <f ca="1">(Q$349/Q$13+ IF(R$2&gt;0,R$2*IF(R$6=OFFSET(Assumptions!$B$8,0,$C$1),SUMPRODUCT(OFFSET(Q$349,0,0,1,-OFFSET(Assumptions!$B$84,0,$C$1)),OFFSET(Q$15,0,0,1,-OFFSET(Assumptions!$B$84,0,$C$1)))/OFFSET(Assumptions!$B$84,0,$C$1)-Q$349/Q$13,(Q$349/Q$13-P$349/P$13)/Q$2),0))*R$13</f>
        <v>8.5251920092125051</v>
      </c>
      <c r="S349" s="6">
        <f ca="1">(R$349/R$13+ IF(S$2&gt;0,S$2*IF(S$6=OFFSET(Assumptions!$B$8,0,$C$1),SUMPRODUCT(OFFSET(R$349,0,0,1,-OFFSET(Assumptions!$B$84,0,$C$1)),OFFSET(R$15,0,0,1,-OFFSET(Assumptions!$B$84,0,$C$1)))/OFFSET(Assumptions!$B$84,0,$C$1)-R$349/R$13,(R$349/R$13-Q$349/Q$13)/R$2),0))*S$13</f>
        <v>8.8844117058861229</v>
      </c>
      <c r="T349" s="6">
        <f ca="1">(S$349/S$13+ IF(T$2&gt;0,T$2*IF(T$6=OFFSET(Assumptions!$B$8,0,$C$1),SUMPRODUCT(OFFSET(S$349,0,0,1,-OFFSET(Assumptions!$B$84,0,$C$1)),OFFSET(S$15,0,0,1,-OFFSET(Assumptions!$B$84,0,$C$1)))/OFFSET(Assumptions!$B$84,0,$C$1)-S$349/S$13,(S$349/S$13-R$349/R$13)/S$2),0))*T$13</f>
        <v>9.2556293006413455</v>
      </c>
      <c r="U349" s="6">
        <f ca="1">(T$349/T$13+ IF(U$2&gt;0,U$2*IF(U$6=OFFSET(Assumptions!$B$8,0,$C$1),SUMPRODUCT(OFFSET(T$349,0,0,1,-OFFSET(Assumptions!$B$84,0,$C$1)),OFFSET(T$15,0,0,1,-OFFSET(Assumptions!$B$84,0,$C$1)))/OFFSET(Assumptions!$B$84,0,$C$1)-T$349/T$13,(T$349/T$13-S$349/S$13)/T$2),0))*U$13</f>
        <v>9.6399669624903854</v>
      </c>
    </row>
    <row r="350" spans="1:21" ht="15" x14ac:dyDescent="0.25">
      <c r="A350" s="2" t="s">
        <v>560</v>
      </c>
      <c r="B350" s="4"/>
      <c r="D350" s="34">
        <f t="shared" ref="D350:U350" ca="1" si="170">SUM(D$348:D$349)</f>
        <v>37.090000000000003</v>
      </c>
      <c r="E350" s="34">
        <f t="shared" ca="1" si="170"/>
        <v>34.386000000000003</v>
      </c>
      <c r="F350" s="34">
        <f t="shared" ca="1" si="170"/>
        <v>32.125999999999998</v>
      </c>
      <c r="G350" s="33">
        <f t="shared" ca="1" si="170"/>
        <v>32.860999999999997</v>
      </c>
      <c r="H350" s="33">
        <f t="shared" ca="1" si="170"/>
        <v>24.638000000000002</v>
      </c>
      <c r="I350" s="33">
        <f t="shared" ca="1" si="170"/>
        <v>26.638000000000002</v>
      </c>
      <c r="J350" s="33">
        <f t="shared" ca="1" si="170"/>
        <v>25.632000000000001</v>
      </c>
      <c r="K350" s="33">
        <f t="shared" ca="1" si="170"/>
        <v>33.427999999999997</v>
      </c>
      <c r="L350" s="37">
        <f t="shared" ca="1" si="170"/>
        <v>35.815844899438645</v>
      </c>
      <c r="M350" s="37">
        <f t="shared" ca="1" si="170"/>
        <v>38.197177843042716</v>
      </c>
      <c r="N350" s="37">
        <f t="shared" ca="1" si="170"/>
        <v>40.798352116767809</v>
      </c>
      <c r="O350" s="37">
        <f t="shared" ca="1" si="170"/>
        <v>43.637470145425866</v>
      </c>
      <c r="P350" s="37">
        <f t="shared" ca="1" si="170"/>
        <v>46.736711262405969</v>
      </c>
      <c r="Q350" s="37">
        <f t="shared" ca="1" si="170"/>
        <v>50.072105088413949</v>
      </c>
      <c r="R350" s="37">
        <f t="shared" ca="1" si="170"/>
        <v>53.475119569886644</v>
      </c>
      <c r="S350" s="37">
        <f t="shared" ca="1" si="170"/>
        <v>56.967481649112337</v>
      </c>
      <c r="T350" s="37">
        <f t="shared" ca="1" si="170"/>
        <v>60.557382792932877</v>
      </c>
      <c r="U350" s="37">
        <f t="shared" ca="1" si="170"/>
        <v>64.247742711402708</v>
      </c>
    </row>
    <row r="351" spans="1:21" x14ac:dyDescent="0.2">
      <c r="A351" s="1" t="s">
        <v>272</v>
      </c>
      <c r="B351" s="4" t="str">
        <f>$B$37</f>
        <v>From Fiscal</v>
      </c>
      <c r="D351" s="14">
        <f>'Fiscal Forecasts'!D$200</f>
        <v>25.789000000000001</v>
      </c>
      <c r="E351" s="14">
        <f>'Fiscal Forecasts'!E$200</f>
        <v>27.709</v>
      </c>
      <c r="F351" s="14">
        <f>'Fiscal Forecasts'!F$200</f>
        <v>28.38</v>
      </c>
      <c r="G351" s="15">
        <f>'Fiscal Forecasts'!G$200</f>
        <v>28.975999999999999</v>
      </c>
      <c r="H351" s="15">
        <f>'Fiscal Forecasts'!H$200</f>
        <v>29.795000000000002</v>
      </c>
      <c r="I351" s="15">
        <f>'Fiscal Forecasts'!I$200</f>
        <v>30.686</v>
      </c>
      <c r="J351" s="15">
        <f>'Fiscal Forecasts'!J$200</f>
        <v>31.445</v>
      </c>
      <c r="K351" s="15">
        <f>'Fiscal Forecasts'!K$200</f>
        <v>32.411999999999999</v>
      </c>
      <c r="L351" s="6">
        <f>K$351*Exogenous!S$28/Exogenous!R$28</f>
        <v>33.664208264894953</v>
      </c>
      <c r="M351" s="6">
        <f>L$351*Exogenous!T$28/Exogenous!S$28</f>
        <v>35.063026712329382</v>
      </c>
      <c r="N351" s="6">
        <f>M$351*Exogenous!U$28/Exogenous!T$28</f>
        <v>36.525139753716502</v>
      </c>
      <c r="O351" s="6">
        <f>N$351*Exogenous!V$28/Exogenous!U$28</f>
        <v>38.133701913803364</v>
      </c>
      <c r="P351" s="6">
        <f>O$351*Exogenous!W$28/Exogenous!V$28</f>
        <v>39.79941189357416</v>
      </c>
      <c r="Q351" s="6">
        <f>P$351*Exogenous!X$28/Exogenous!W$28</f>
        <v>41.652052850784145</v>
      </c>
      <c r="R351" s="6">
        <f>Q$351*Exogenous!Y$28/Exogenous!X$28</f>
        <v>43.556048842508119</v>
      </c>
      <c r="S351" s="6">
        <f>R$351*Exogenous!Z$28/Exogenous!Y$28</f>
        <v>45.610053812328459</v>
      </c>
      <c r="T351" s="6">
        <f>S$351*Exogenous!AA$28/Exogenous!Z$28</f>
        <v>47.714879729738719</v>
      </c>
      <c r="U351" s="6">
        <f>T$351*Exogenous!AB$28/Exogenous!AA$28</f>
        <v>49.98904045325223</v>
      </c>
    </row>
    <row r="352" spans="1:21" x14ac:dyDescent="0.2">
      <c r="A352" s="1" t="s">
        <v>483</v>
      </c>
      <c r="B352" s="4" t="str">
        <f>$B$37</f>
        <v>From Fiscal</v>
      </c>
      <c r="D352" s="14">
        <f>'Fiscal Forecasts'!D$201</f>
        <v>3.8119999999999998</v>
      </c>
      <c r="E352" s="14">
        <f>'Fiscal Forecasts'!E$201</f>
        <v>3.7709999999999999</v>
      </c>
      <c r="F352" s="14">
        <f>'Fiscal Forecasts'!F$201</f>
        <v>3.8250000000000002</v>
      </c>
      <c r="G352" s="15">
        <f>'Fiscal Forecasts'!G$201</f>
        <v>3.4529999999999998</v>
      </c>
      <c r="H352" s="15">
        <f>'Fiscal Forecasts'!H$201</f>
        <v>3.601</v>
      </c>
      <c r="I352" s="15">
        <f>'Fiscal Forecasts'!I$201</f>
        <v>3.5910000000000002</v>
      </c>
      <c r="J352" s="15">
        <f>'Fiscal Forecasts'!J$201</f>
        <v>3.7679999999999998</v>
      </c>
      <c r="K352" s="15">
        <f>'Fiscal Forecasts'!K$201</f>
        <v>3.83</v>
      </c>
      <c r="L352" s="6">
        <f ca="1">(K$352/K$13+ IF(L$2&gt;0,L$2*IF(L$6=OFFSET(Assumptions!$B$8,0,$C$1),SUMPRODUCT(OFFSET(K$352,0,0,1,-OFFSET(Assumptions!$B$84,0,$C$1)),OFFSET(K$15,0,0,1,-OFFSET(Assumptions!$B$84,0,$C$1)))/OFFSET(Assumptions!$B$84,0,$C$1)-K$352/K$13,(K$352/K$13-J$352/J$13)/K$2),0))*L$13</f>
        <v>4.0332690189907634</v>
      </c>
      <c r="M352" s="6">
        <f ca="1">(L$352/L$13+ IF(M$2&gt;0,M$2*IF(M$6=OFFSET(Assumptions!$B$8,0,$C$1),SUMPRODUCT(OFFSET(L$352,0,0,1,-OFFSET(Assumptions!$B$84,0,$C$1)),OFFSET(L$15,0,0,1,-OFFSET(Assumptions!$B$84,0,$C$1)))/OFFSET(Assumptions!$B$84,0,$C$1)-L$352/L$13,(L$352/L$13-K$352/K$13)/L$2),0))*M$13</f>
        <v>4.2369542192444252</v>
      </c>
      <c r="N352" s="6">
        <f ca="1">(M$352/M$13+ IF(N$2&gt;0,N$2*IF(N$6=OFFSET(Assumptions!$B$8,0,$C$1),SUMPRODUCT(OFFSET(M$352,0,0,1,-OFFSET(Assumptions!$B$84,0,$C$1)),OFFSET(M$15,0,0,1,-OFFSET(Assumptions!$B$84,0,$C$1)))/OFFSET(Assumptions!$B$84,0,$C$1)-M$352/M$13,(M$352/M$13-L$352/L$13)/M$2),0))*N$13</f>
        <v>4.4412453104469174</v>
      </c>
      <c r="O352" s="6">
        <f ca="1">(N$352/N$13+ IF(O$2&gt;0,O$2*IF(O$6=OFFSET(Assumptions!$B$8,0,$C$1),SUMPRODUCT(OFFSET(N$352,0,0,1,-OFFSET(Assumptions!$B$84,0,$C$1)),OFFSET(N$15,0,0,1,-OFFSET(Assumptions!$B$84,0,$C$1)))/OFFSET(Assumptions!$B$84,0,$C$1)-N$352/N$13,(N$352/N$13-M$352/M$13)/N$2),0))*O$13</f>
        <v>4.6463342324027508</v>
      </c>
      <c r="P352" s="6">
        <f ca="1">(O$352/O$13+ IF(P$2&gt;0,P$2*IF(P$6=OFFSET(Assumptions!$B$8,0,$C$1),SUMPRODUCT(OFFSET(O$352,0,0,1,-OFFSET(Assumptions!$B$84,0,$C$1)),OFFSET(O$15,0,0,1,-OFFSET(Assumptions!$B$84,0,$C$1)))/OFFSET(Assumptions!$B$84,0,$C$1)-O$352/O$13,(O$352/O$13-N$352/N$13)/O$2),0))*P$13</f>
        <v>4.8533298971920171</v>
      </c>
      <c r="Q352" s="6">
        <f ca="1">(P$352/P$13+ IF(Q$2&gt;0,Q$2*IF(Q$6=OFFSET(Assumptions!$B$8,0,$C$1),SUMPRODUCT(OFFSET(P$352,0,0,1,-OFFSET(Assumptions!$B$84,0,$C$1)),OFFSET(P$15,0,0,1,-OFFSET(Assumptions!$B$84,0,$C$1)))/OFFSET(Assumptions!$B$84,0,$C$1)-P$352/P$13,(P$352/P$13-O$352/O$13)/P$2),0))*Q$13</f>
        <v>5.0618753607501432</v>
      </c>
      <c r="R352" s="6">
        <f ca="1">(Q$352/Q$13+ IF(R$2&gt;0,R$2*IF(R$6=OFFSET(Assumptions!$B$8,0,$C$1),SUMPRODUCT(OFFSET(Q$352,0,0,1,-OFFSET(Assumptions!$B$84,0,$C$1)),OFFSET(Q$15,0,0,1,-OFFSET(Assumptions!$B$84,0,$C$1)))/OFFSET(Assumptions!$B$84,0,$C$1)-Q$352/Q$13,(Q$352/Q$13-P$352/P$13)/Q$2),0))*R$13</f>
        <v>5.2770043452747979</v>
      </c>
      <c r="S352" s="6">
        <f ca="1">(R$352/R$13+ IF(S$2&gt;0,S$2*IF(S$6=OFFSET(Assumptions!$B$8,0,$C$1),SUMPRODUCT(OFFSET(R$352,0,0,1,-OFFSET(Assumptions!$B$84,0,$C$1)),OFFSET(R$15,0,0,1,-OFFSET(Assumptions!$B$84,0,$C$1)))/OFFSET(Assumptions!$B$84,0,$C$1)-R$352/R$13,(R$352/R$13-Q$352/Q$13)/R$2),0))*S$13</f>
        <v>5.4993575659654921</v>
      </c>
      <c r="T352" s="6">
        <f ca="1">(S$352/S$13+ IF(T$2&gt;0,T$2*IF(T$6=OFFSET(Assumptions!$B$8,0,$C$1),SUMPRODUCT(OFFSET(S$352,0,0,1,-OFFSET(Assumptions!$B$84,0,$C$1)),OFFSET(S$15,0,0,1,-OFFSET(Assumptions!$B$84,0,$C$1)))/OFFSET(Assumptions!$B$84,0,$C$1)-S$352/S$13,(S$352/S$13-R$352/R$13)/S$2),0))*T$13</f>
        <v>5.7291373595993385</v>
      </c>
      <c r="U352" s="6">
        <f ca="1">(T$352/T$13+ IF(U$2&gt;0,U$2*IF(U$6=OFFSET(Assumptions!$B$8,0,$C$1),SUMPRODUCT(OFFSET(T$352,0,0,1,-OFFSET(Assumptions!$B$84,0,$C$1)),OFFSET(T$15,0,0,1,-OFFSET(Assumptions!$B$84,0,$C$1)))/OFFSET(Assumptions!$B$84,0,$C$1)-T$352/T$13,(T$352/T$13-S$352/S$13)/T$2),0))*U$13</f>
        <v>5.967038337012923</v>
      </c>
    </row>
    <row r="353" spans="1:21" x14ac:dyDescent="0.2">
      <c r="A353" s="1" t="s">
        <v>484</v>
      </c>
      <c r="B353" s="4" t="str">
        <f>$B$37</f>
        <v>From Fiscal</v>
      </c>
      <c r="D353" s="14">
        <f ca="1">'Fiscal Forecasts'!D$116-SUM(D$350:D$352)</f>
        <v>-12.393000000000001</v>
      </c>
      <c r="E353" s="14">
        <f ca="1">'Fiscal Forecasts'!E$116-SUM(E$350:E$352)</f>
        <v>-12.467999999999996</v>
      </c>
      <c r="F353" s="14">
        <f ca="1">'Fiscal Forecasts'!F$116-SUM(F$350:F$352)</f>
        <v>-13.825000000000003</v>
      </c>
      <c r="G353" s="15">
        <f ca="1">'Fiscal Forecasts'!G$116-SUM(G$350:G$352)</f>
        <v>-15.053999999999995</v>
      </c>
      <c r="H353" s="15">
        <f ca="1">'Fiscal Forecasts'!H$116-SUM(H$350:H$352)</f>
        <v>-15.404000000000003</v>
      </c>
      <c r="I353" s="15">
        <f ca="1">'Fiscal Forecasts'!I$116-SUM(I$350:I$352)</f>
        <v>-15.881</v>
      </c>
      <c r="J353" s="15">
        <f ca="1">'Fiscal Forecasts'!J$116-SUM(J$350:J$352)</f>
        <v>-16.365000000000002</v>
      </c>
      <c r="K353" s="15">
        <f ca="1">'Fiscal Forecasts'!K$116-SUM(K$350:K$352)</f>
        <v>-16.725000000000001</v>
      </c>
      <c r="L353" s="6">
        <f ca="1">IF(L$6=OFFSET(Assumptions!$B$8,0,$C$1),AVERAGE(I$353/I$351,J$353/J$351,K$353/K$351),K$353/K$351)*L$351</f>
        <v>-17.437807560491628</v>
      </c>
      <c r="M353" s="6">
        <f ca="1">IF(M$6=OFFSET(Assumptions!$B$8,0,$C$1),AVERAGE(J$353/J$351,K$353/K$351,L$353/L$351),L$353/L$351)*M$351</f>
        <v>-18.162385031807464</v>
      </c>
      <c r="N353" s="6">
        <f ca="1">IF(N$6=OFFSET(Assumptions!$B$8,0,$C$1),AVERAGE(K$353/K$351,L$353/L$351,M$353/M$351),M$353/M$351)*N$351</f>
        <v>-18.919748628383743</v>
      </c>
      <c r="O353" s="6">
        <f ca="1">IF(O$6=OFFSET(Assumptions!$B$8,0,$C$1),AVERAGE(L$353/L$351,M$353/M$351,N$353/N$351),N$353/N$351)*O$351</f>
        <v>-19.752971770777791</v>
      </c>
      <c r="P353" s="6">
        <f ca="1">IF(P$6=OFFSET(Assumptions!$B$8,0,$C$1),AVERAGE(M$353/M$351,N$353/N$351,O$353/O$351),O$353/O$351)*P$351</f>
        <v>-20.615797055432502</v>
      </c>
      <c r="Q353" s="6">
        <f ca="1">IF(Q$6=OFFSET(Assumptions!$B$8,0,$C$1),AVERAGE(N$353/N$351,O$353/O$351,P$353/P$351),P$353/P$351)*Q$351</f>
        <v>-21.57545118531149</v>
      </c>
      <c r="R353" s="6">
        <f ca="1">IF(R$6=OFFSET(Assumptions!$B$8,0,$C$1),AVERAGE(O$353/O$351,P$353/P$351,Q$353/Q$351),Q$353/Q$351)*R$351</f>
        <v>-22.56170683815132</v>
      </c>
      <c r="S353" s="6">
        <f ca="1">IF(S$6=OFFSET(Assumptions!$B$8,0,$C$1),AVERAGE(P$353/P$351,Q$353/Q$351,R$353/R$351),R$353/R$351)*S$351</f>
        <v>-23.625666017294439</v>
      </c>
      <c r="T353" s="6">
        <f ca="1">IF(T$6=OFFSET(Assumptions!$B$8,0,$C$1),AVERAGE(Q$353/Q$351,R$353/R$351,S$353/S$351),S$353/S$351)*T$351</f>
        <v>-24.71595006637483</v>
      </c>
      <c r="U353" s="6">
        <f ca="1">IF(U$6=OFFSET(Assumptions!$B$8,0,$C$1),AVERAGE(R$353/R$351,S$353/S$351,T$353/T$351),T$353/T$351)*U$351</f>
        <v>-25.893948275814697</v>
      </c>
    </row>
    <row r="354" spans="1:21" ht="15" x14ac:dyDescent="0.25">
      <c r="A354" s="2" t="s">
        <v>570</v>
      </c>
      <c r="B354" s="4"/>
      <c r="D354" s="34">
        <f t="shared" ref="D354:U354" ca="1" si="171">SUM(D$350:D$353)</f>
        <v>54.298000000000002</v>
      </c>
      <c r="E354" s="34">
        <f t="shared" ca="1" si="171"/>
        <v>53.398000000000003</v>
      </c>
      <c r="F354" s="34">
        <f t="shared" ca="1" si="171"/>
        <v>50.506</v>
      </c>
      <c r="G354" s="33">
        <f t="shared" ca="1" si="171"/>
        <v>50.235999999999997</v>
      </c>
      <c r="H354" s="33">
        <f t="shared" ca="1" si="171"/>
        <v>42.63</v>
      </c>
      <c r="I354" s="33">
        <f t="shared" ca="1" si="171"/>
        <v>45.033999999999999</v>
      </c>
      <c r="J354" s="33">
        <f t="shared" ca="1" si="171"/>
        <v>44.48</v>
      </c>
      <c r="K354" s="33">
        <f t="shared" ca="1" si="171"/>
        <v>52.945</v>
      </c>
      <c r="L354" s="37">
        <f t="shared" ca="1" si="171"/>
        <v>56.075514622832735</v>
      </c>
      <c r="M354" s="37">
        <f t="shared" ca="1" si="171"/>
        <v>59.334773742809062</v>
      </c>
      <c r="N354" s="37">
        <f t="shared" ca="1" si="171"/>
        <v>62.844988552547477</v>
      </c>
      <c r="O354" s="37">
        <f t="shared" ca="1" si="171"/>
        <v>66.66453452085419</v>
      </c>
      <c r="P354" s="37">
        <f t="shared" ca="1" si="171"/>
        <v>70.773655997739638</v>
      </c>
      <c r="Q354" s="37">
        <f t="shared" ca="1" si="171"/>
        <v>75.210582114636736</v>
      </c>
      <c r="R354" s="37">
        <f t="shared" ca="1" si="171"/>
        <v>79.746465919518243</v>
      </c>
      <c r="S354" s="37">
        <f t="shared" ca="1" si="171"/>
        <v>84.45122701011185</v>
      </c>
      <c r="T354" s="37">
        <f t="shared" ca="1" si="171"/>
        <v>89.285449815896101</v>
      </c>
      <c r="U354" s="37">
        <f t="shared" ca="1" si="171"/>
        <v>94.309873225853167</v>
      </c>
    </row>
    <row r="355" spans="1:21" ht="15" x14ac:dyDescent="0.25">
      <c r="A355" s="2"/>
      <c r="B355" s="4"/>
      <c r="D355" s="46"/>
      <c r="E355" s="46"/>
      <c r="F355" s="46"/>
      <c r="G355" s="47"/>
      <c r="H355" s="47"/>
      <c r="I355" s="47"/>
      <c r="J355" s="47"/>
      <c r="K355" s="47"/>
      <c r="L355" s="48"/>
      <c r="M355" s="48"/>
      <c r="N355" s="48"/>
      <c r="O355" s="48"/>
      <c r="P355" s="48"/>
      <c r="Q355" s="48"/>
      <c r="R355" s="48"/>
      <c r="S355" s="48"/>
      <c r="T355" s="48"/>
      <c r="U355" s="48"/>
    </row>
    <row r="356" spans="1:21" ht="15" x14ac:dyDescent="0.25">
      <c r="A356" s="18" t="s">
        <v>215</v>
      </c>
      <c r="B356" s="4"/>
      <c r="D356" s="46"/>
      <c r="E356" s="46"/>
      <c r="F356" s="46"/>
      <c r="G356" s="47"/>
      <c r="H356" s="47"/>
      <c r="I356" s="47"/>
      <c r="J356" s="47"/>
      <c r="K356" s="47"/>
      <c r="L356" s="7"/>
      <c r="M356" s="7"/>
      <c r="N356" s="7"/>
      <c r="O356" s="7"/>
      <c r="P356" s="7"/>
      <c r="Q356" s="7"/>
      <c r="R356" s="7"/>
      <c r="S356" s="7"/>
      <c r="T356" s="7"/>
      <c r="U356" s="7"/>
    </row>
    <row r="357" spans="1:21" x14ac:dyDescent="0.2">
      <c r="A357" s="1" t="s">
        <v>582</v>
      </c>
      <c r="B357" s="4"/>
      <c r="D357" s="14">
        <f ca="1">OFFSET(Assumptions!$B$73,0,$C$1)*D$373</f>
        <v>13.2849</v>
      </c>
      <c r="E357" s="14">
        <f ca="1">OFFSET(Assumptions!$B$73,0,$C$1)*E$373</f>
        <v>13.28715</v>
      </c>
      <c r="F357" s="14">
        <f ca="1">OFFSET(Assumptions!$B$73,0,$C$1)*F$373</f>
        <v>15.527700000000001</v>
      </c>
      <c r="G357" s="15">
        <f ca="1">OFFSET(Assumptions!$B$73,0,$C$1)*G$373</f>
        <v>17.489250000000002</v>
      </c>
      <c r="H357" s="15">
        <f ca="1">OFFSET(Assumptions!$B$73,0,$C$1)*H$373</f>
        <v>19.106100000000001</v>
      </c>
      <c r="I357" s="15">
        <f ca="1">OFFSET(Assumptions!$B$73,0,$C$1)*I$373</f>
        <v>21.060000000000002</v>
      </c>
      <c r="J357" s="15">
        <f ca="1">OFFSET(Assumptions!$B$73,0,$C$1)*J$373</f>
        <v>23.465700000000002</v>
      </c>
      <c r="K357" s="15">
        <f ca="1">OFFSET(Assumptions!$B$73,0,$C$1)*K$373</f>
        <v>26.175150000000002</v>
      </c>
      <c r="L357" s="6">
        <f ca="1">OFFSET(Assumptions!$B$73,0,$C$1)/SUM(OFFSET(Assumptions!$B$71,0,$C$1,6,1))*SUM(L$373,L$69,-L$341,L$448)</f>
        <v>29.034923167746701</v>
      </c>
      <c r="M357" s="6">
        <f ca="1">OFFSET(Assumptions!$B$73,0,$C$1)/SUM(OFFSET(Assumptions!$B$71,0,$C$1,6,1))*SUM(M$373,M$69,-M$341,M$448)</f>
        <v>31.789243777569077</v>
      </c>
      <c r="N357" s="6">
        <f ca="1">OFFSET(Assumptions!$B$73,0,$C$1)/SUM(OFFSET(Assumptions!$B$71,0,$C$1,6,1))*SUM(N$373,N$69,-N$341,N$448)</f>
        <v>34.653872434394572</v>
      </c>
      <c r="O357" s="6">
        <f ca="1">OFFSET(Assumptions!$B$73,0,$C$1)/SUM(OFFSET(Assumptions!$B$71,0,$C$1,6,1))*SUM(O$373,O$69,-O$341,O$448)</f>
        <v>37.626100967950656</v>
      </c>
      <c r="P357" s="6">
        <f ca="1">OFFSET(Assumptions!$B$73,0,$C$1)/SUM(OFFSET(Assumptions!$B$71,0,$C$1,6,1))*SUM(P$373,P$69,-P$341,P$448)</f>
        <v>40.705096079477975</v>
      </c>
      <c r="Q357" s="6">
        <f ca="1">OFFSET(Assumptions!$B$73,0,$C$1)/SUM(OFFSET(Assumptions!$B$71,0,$C$1,6,1))*SUM(Q$373,Q$69,-Q$341,Q$448)</f>
        <v>43.843041376952634</v>
      </c>
      <c r="R357" s="6">
        <f ca="1">OFFSET(Assumptions!$B$73,0,$C$1)/SUM(OFFSET(Assumptions!$B$71,0,$C$1,6,1))*SUM(R$373,R$69,-R$341,R$448)</f>
        <v>47.040621865821784</v>
      </c>
      <c r="S357" s="6">
        <f ca="1">OFFSET(Assumptions!$B$73,0,$C$1)/SUM(OFFSET(Assumptions!$B$71,0,$C$1,6,1))*SUM(S$373,S$69,-S$341,S$448)</f>
        <v>50.319491801050695</v>
      </c>
      <c r="T357" s="6">
        <f ca="1">OFFSET(Assumptions!$B$73,0,$C$1)/SUM(OFFSET(Assumptions!$B$71,0,$C$1,6,1))*SUM(T$373,T$69,-T$341,T$448)</f>
        <v>53.687881561700443</v>
      </c>
      <c r="U357" s="6">
        <f ca="1">OFFSET(Assumptions!$B$73,0,$C$1)/SUM(OFFSET(Assumptions!$B$71,0,$C$1,6,1))*SUM(U$373,U$69,-U$341,U$448)</f>
        <v>57.147672295373361</v>
      </c>
    </row>
    <row r="358" spans="1:21" x14ac:dyDescent="0.2">
      <c r="A358" s="1" t="s">
        <v>583</v>
      </c>
      <c r="B358" s="4" t="str">
        <f>$B$37</f>
        <v>From Fiscal</v>
      </c>
      <c r="D358" s="14">
        <f ca="1">'Fiscal Forecasts'!D$170-D$357</f>
        <v>2.0690999999999988</v>
      </c>
      <c r="E358" s="14">
        <f ca="1">'Fiscal Forecasts'!E$170-E$357</f>
        <v>0.25284999999999869</v>
      </c>
      <c r="F358" s="14">
        <f ca="1">'Fiscal Forecasts'!F$170-F$357</f>
        <v>4.5622999999999987</v>
      </c>
      <c r="G358" s="15">
        <f ca="1">'Fiscal Forecasts'!G$170-G$357</f>
        <v>7.0347499999999989</v>
      </c>
      <c r="H358" s="15">
        <f ca="1">'Fiscal Forecasts'!H$170-H$357</f>
        <v>8.0778999999999996</v>
      </c>
      <c r="I358" s="15">
        <f ca="1">'Fiscal Forecasts'!I$170-I$357</f>
        <v>9.4249999999999972</v>
      </c>
      <c r="J358" s="15">
        <f ca="1">'Fiscal Forecasts'!J$170-J$357</f>
        <v>11.103300000000001</v>
      </c>
      <c r="K358" s="15">
        <f ca="1">'Fiscal Forecasts'!K$170-K$357</f>
        <v>12.993849999999995</v>
      </c>
      <c r="L358" s="6">
        <f ca="1">(K$358/K$13+ IF(L$2&gt;0,L$2*IF(L$6=OFFSET(Assumptions!$B$8,0,$C$1),SUMPRODUCT(OFFSET(K$358,0,0,1,-OFFSET(Assumptions!$B$84,0,$C$1)),OFFSET(K$15,0,0,1,-OFFSET(Assumptions!$B$84,0,$C$1)))/OFFSET(Assumptions!$B$84,0,$C$1)-K$358/K$13,(K$358/K$13-J$358/J$13)/K$2),0))*L$13</f>
        <v>13.128509436172166</v>
      </c>
      <c r="M358" s="6">
        <f ca="1">(L$358/L$13+ IF(M$2&gt;0,M$2*IF(M$6=OFFSET(Assumptions!$B$8,0,$C$1),SUMPRODUCT(OFFSET(L$358,0,0,1,-OFFSET(Assumptions!$B$84,0,$C$1)),OFFSET(L$15,0,0,1,-OFFSET(Assumptions!$B$84,0,$C$1)))/OFFSET(Assumptions!$B$84,0,$C$1)-L$358/L$13,(L$358/L$13-K$358/K$13)/L$2),0))*M$13</f>
        <v>13.330025919785552</v>
      </c>
      <c r="N358" s="6">
        <f ca="1">(M$358/M$13+ IF(N$2&gt;0,N$2*IF(N$6=OFFSET(Assumptions!$B$8,0,$C$1),SUMPRODUCT(OFFSET(M$358,0,0,1,-OFFSET(Assumptions!$B$84,0,$C$1)),OFFSET(M$15,0,0,1,-OFFSET(Assumptions!$B$84,0,$C$1)))/OFFSET(Assumptions!$B$84,0,$C$1)-M$358/M$13,(M$358/M$13-L$358/L$13)/M$2),0))*N$13</f>
        <v>13.61290146789479</v>
      </c>
      <c r="O358" s="6">
        <f ca="1">(N$358/N$13+ IF(O$2&gt;0,O$2*IF(O$6=OFFSET(Assumptions!$B$8,0,$C$1),SUMPRODUCT(OFFSET(N$358,0,0,1,-OFFSET(Assumptions!$B$84,0,$C$1)),OFFSET(N$15,0,0,1,-OFFSET(Assumptions!$B$84,0,$C$1)))/OFFSET(Assumptions!$B$84,0,$C$1)-N$358/N$13,(N$358/N$13-M$358/M$13)/N$2),0))*O$13</f>
        <v>13.991998546800975</v>
      </c>
      <c r="P358" s="6">
        <f ca="1">(O$358/O$13+ IF(P$2&gt;0,P$2*IF(P$6=OFFSET(Assumptions!$B$8,0,$C$1),SUMPRODUCT(OFFSET(O$358,0,0,1,-OFFSET(Assumptions!$B$84,0,$C$1)),OFFSET(O$15,0,0,1,-OFFSET(Assumptions!$B$84,0,$C$1)))/OFFSET(Assumptions!$B$84,0,$C$1)-O$358/O$13,(O$358/O$13-N$358/N$13)/O$2),0))*P$13</f>
        <v>14.485480162625516</v>
      </c>
      <c r="Q358" s="6">
        <f ca="1">(P$358/P$13+ IF(Q$2&gt;0,Q$2*IF(Q$6=OFFSET(Assumptions!$B$8,0,$C$1),SUMPRODUCT(OFFSET(P$358,0,0,1,-OFFSET(Assumptions!$B$84,0,$C$1)),OFFSET(P$15,0,0,1,-OFFSET(Assumptions!$B$84,0,$C$1)))/OFFSET(Assumptions!$B$84,0,$C$1)-P$358/P$13,(P$358/P$13-O$358/O$13)/P$2),0))*Q$13</f>
        <v>15.10791491142027</v>
      </c>
      <c r="R358" s="6">
        <f ca="1">(Q$358/Q$13+ IF(R$2&gt;0,R$2*IF(R$6=OFFSET(Assumptions!$B$8,0,$C$1),SUMPRODUCT(OFFSET(Q$358,0,0,1,-OFFSET(Assumptions!$B$84,0,$C$1)),OFFSET(Q$15,0,0,1,-OFFSET(Assumptions!$B$84,0,$C$1)))/OFFSET(Assumptions!$B$84,0,$C$1)-Q$358/Q$13,(Q$358/Q$13-P$358/P$13)/Q$2),0))*R$13</f>
        <v>15.749999151261582</v>
      </c>
      <c r="S358" s="6">
        <f ca="1">(R$358/R$13+ IF(S$2&gt;0,S$2*IF(S$6=OFFSET(Assumptions!$B$8,0,$C$1),SUMPRODUCT(OFFSET(R$358,0,0,1,-OFFSET(Assumptions!$B$84,0,$C$1)),OFFSET(R$15,0,0,1,-OFFSET(Assumptions!$B$84,0,$C$1)))/OFFSET(Assumptions!$B$84,0,$C$1)-R$358/R$13,(R$358/R$13-Q$358/Q$13)/R$2),0))*S$13</f>
        <v>16.413645191328722</v>
      </c>
      <c r="T358" s="6">
        <f ca="1">(S$358/S$13+ IF(T$2&gt;0,T$2*IF(T$6=OFFSET(Assumptions!$B$8,0,$C$1),SUMPRODUCT(OFFSET(S$358,0,0,1,-OFFSET(Assumptions!$B$84,0,$C$1)),OFFSET(S$15,0,0,1,-OFFSET(Assumptions!$B$84,0,$C$1)))/OFFSET(Assumptions!$B$84,0,$C$1)-S$358/S$13,(S$358/S$13-R$358/R$13)/S$2),0))*T$13</f>
        <v>17.099456935628449</v>
      </c>
      <c r="U358" s="6">
        <f ca="1">(T$358/T$13+ IF(U$2&gt;0,U$2*IF(U$6=OFFSET(Assumptions!$B$8,0,$C$1),SUMPRODUCT(OFFSET(T$358,0,0,1,-OFFSET(Assumptions!$B$84,0,$C$1)),OFFSET(T$15,0,0,1,-OFFSET(Assumptions!$B$84,0,$C$1)))/OFFSET(Assumptions!$B$84,0,$C$1)-T$358/T$13,(T$358/T$13-S$358/S$13)/T$2),0))*U$13</f>
        <v>17.809507552832013</v>
      </c>
    </row>
    <row r="359" spans="1:21" ht="15" x14ac:dyDescent="0.25">
      <c r="A359" s="2" t="s">
        <v>584</v>
      </c>
      <c r="B359" s="4"/>
      <c r="D359" s="34">
        <f t="shared" ref="D359:U359" ca="1" si="172">SUM(D$357:D$358)</f>
        <v>15.353999999999999</v>
      </c>
      <c r="E359" s="34">
        <f t="shared" ca="1" si="172"/>
        <v>13.54</v>
      </c>
      <c r="F359" s="34">
        <f t="shared" ca="1" si="172"/>
        <v>20.09</v>
      </c>
      <c r="G359" s="33">
        <f t="shared" ca="1" si="172"/>
        <v>24.524000000000001</v>
      </c>
      <c r="H359" s="33">
        <f t="shared" ca="1" si="172"/>
        <v>27.184000000000001</v>
      </c>
      <c r="I359" s="33">
        <f t="shared" ca="1" si="172"/>
        <v>30.484999999999999</v>
      </c>
      <c r="J359" s="33">
        <f t="shared" ca="1" si="172"/>
        <v>34.569000000000003</v>
      </c>
      <c r="K359" s="33">
        <f t="shared" ca="1" si="172"/>
        <v>39.168999999999997</v>
      </c>
      <c r="L359" s="37">
        <f t="shared" ca="1" si="172"/>
        <v>42.163432603918864</v>
      </c>
      <c r="M359" s="37">
        <f t="shared" ca="1" si="172"/>
        <v>45.119269697354625</v>
      </c>
      <c r="N359" s="37">
        <f t="shared" ca="1" si="172"/>
        <v>48.266773902289358</v>
      </c>
      <c r="O359" s="37">
        <f t="shared" ca="1" si="172"/>
        <v>51.618099514751634</v>
      </c>
      <c r="P359" s="37">
        <f t="shared" ca="1" si="172"/>
        <v>55.190576242103489</v>
      </c>
      <c r="Q359" s="37">
        <f t="shared" ca="1" si="172"/>
        <v>58.950956288372907</v>
      </c>
      <c r="R359" s="37">
        <f t="shared" ca="1" si="172"/>
        <v>62.790621017083367</v>
      </c>
      <c r="S359" s="37">
        <f t="shared" ca="1" si="172"/>
        <v>66.733136992379414</v>
      </c>
      <c r="T359" s="37">
        <f t="shared" ca="1" si="172"/>
        <v>70.787338497328889</v>
      </c>
      <c r="U359" s="37">
        <f t="shared" ca="1" si="172"/>
        <v>74.957179848205371</v>
      </c>
    </row>
    <row r="360" spans="1:21" x14ac:dyDescent="0.2">
      <c r="A360" s="1" t="s">
        <v>272</v>
      </c>
      <c r="B360" s="4" t="str">
        <f>$B$37</f>
        <v>From Fiscal</v>
      </c>
      <c r="D360" s="14">
        <f>'Fiscal Forecasts'!D$202</f>
        <v>10.454000000000001</v>
      </c>
      <c r="E360" s="14">
        <f>'Fiscal Forecasts'!E$202</f>
        <v>11</v>
      </c>
      <c r="F360" s="14">
        <f>'Fiscal Forecasts'!F$202</f>
        <v>11.634</v>
      </c>
      <c r="G360" s="15">
        <f>'Fiscal Forecasts'!G$202</f>
        <v>12.802</v>
      </c>
      <c r="H360" s="15">
        <f>'Fiscal Forecasts'!H$202</f>
        <v>13.058</v>
      </c>
      <c r="I360" s="15">
        <f>'Fiscal Forecasts'!I$202</f>
        <v>13.423999999999999</v>
      </c>
      <c r="J360" s="15">
        <f>'Fiscal Forecasts'!J$202</f>
        <v>13.766999999999999</v>
      </c>
      <c r="K360" s="15">
        <f>'Fiscal Forecasts'!K$202</f>
        <v>14.11</v>
      </c>
      <c r="L360" s="6">
        <f>K$360*Exogenous!S$28/Exogenous!R$28</f>
        <v>14.655127070766008</v>
      </c>
      <c r="M360" s="6">
        <f>L$360*Exogenous!T$28/Exogenous!S$28</f>
        <v>15.264078332437604</v>
      </c>
      <c r="N360" s="6">
        <f>M$360*Exogenous!U$28/Exogenous!T$28</f>
        <v>15.90058379380908</v>
      </c>
      <c r="O360" s="6">
        <f>N$360*Exogenous!V$28/Exogenous!U$28</f>
        <v>16.600843329747175</v>
      </c>
      <c r="P360" s="6">
        <f>O$360*Exogenous!W$28/Exogenous!V$28</f>
        <v>17.325981174204966</v>
      </c>
      <c r="Q360" s="6">
        <f>P$360*Exogenous!X$28/Exogenous!W$28</f>
        <v>18.132496165758493</v>
      </c>
      <c r="R360" s="6">
        <f>Q$360*Exogenous!Y$28/Exogenous!X$28</f>
        <v>18.961367677643757</v>
      </c>
      <c r="S360" s="6">
        <f>R$360*Exogenous!Z$28/Exogenous!Y$28</f>
        <v>19.855542986917023</v>
      </c>
      <c r="T360" s="6">
        <f>S$360*Exogenous!AA$28/Exogenous!Z$28</f>
        <v>20.771842311076554</v>
      </c>
      <c r="U360" s="6">
        <f>T$360*Exogenous!AB$28/Exogenous!AA$28</f>
        <v>21.761858595439616</v>
      </c>
    </row>
    <row r="361" spans="1:21" x14ac:dyDescent="0.2">
      <c r="A361" s="1" t="s">
        <v>483</v>
      </c>
      <c r="B361" s="4" t="str">
        <f>$B$37</f>
        <v>From Fiscal</v>
      </c>
      <c r="D361" s="14">
        <f>'Fiscal Forecasts'!D$203</f>
        <v>5.8000000000000003E-2</v>
      </c>
      <c r="E361" s="14">
        <f>'Fiscal Forecasts'!E$203</f>
        <v>8.5999999999999993E-2</v>
      </c>
      <c r="F361" s="14">
        <f>'Fiscal Forecasts'!F$203</f>
        <v>5.8999999999999997E-2</v>
      </c>
      <c r="G361" s="15">
        <f>'Fiscal Forecasts'!G$203</f>
        <v>6.5000000000000002E-2</v>
      </c>
      <c r="H361" s="15">
        <f>'Fiscal Forecasts'!H$203</f>
        <v>8.1000000000000003E-2</v>
      </c>
      <c r="I361" s="15">
        <f>'Fiscal Forecasts'!I$203</f>
        <v>8.1000000000000003E-2</v>
      </c>
      <c r="J361" s="15">
        <f>'Fiscal Forecasts'!J$203</f>
        <v>8.2000000000000003E-2</v>
      </c>
      <c r="K361" s="15">
        <f>'Fiscal Forecasts'!K$203</f>
        <v>8.2000000000000003E-2</v>
      </c>
      <c r="L361" s="6">
        <f ca="1">(K$361/K$13+ IF(L$2&gt;0,L$2*IF(L$6=OFFSET(Assumptions!$B$8,0,$C$1),SUMPRODUCT(OFFSET(K$361,0,0,1,-OFFSET(Assumptions!$B$84,0,$C$1)),OFFSET(K$15,0,0,1,-OFFSET(Assumptions!$B$84,0,$C$1)))/OFFSET(Assumptions!$B$84,0,$C$1)-K$361/K$13,(K$361/K$13-J$361/J$13)/K$2),0))*L$13</f>
        <v>8.7036860052588413E-2</v>
      </c>
      <c r="M361" s="6">
        <f ca="1">(L$361/L$13+ IF(M$2&gt;0,M$2*IF(M$6=OFFSET(Assumptions!$B$8,0,$C$1),SUMPRODUCT(OFFSET(L$361,0,0,1,-OFFSET(Assumptions!$B$84,0,$C$1)),OFFSET(L$15,0,0,1,-OFFSET(Assumptions!$B$84,0,$C$1)))/OFFSET(Assumptions!$B$84,0,$C$1)-L$361/L$13,(L$361/L$13-K$361/K$13)/L$2),0))*M$13</f>
        <v>9.2001863710478804E-2</v>
      </c>
      <c r="N361" s="6">
        <f ca="1">(M$361/M$13+ IF(N$2&gt;0,N$2*IF(N$6=OFFSET(Assumptions!$B$8,0,$C$1),SUMPRODUCT(OFFSET(M$361,0,0,1,-OFFSET(Assumptions!$B$84,0,$C$1)),OFFSET(M$15,0,0,1,-OFFSET(Assumptions!$B$84,0,$C$1)))/OFFSET(Assumptions!$B$84,0,$C$1)-M$361/M$13,(M$361/M$13-L$361/L$13)/M$2),0))*N$13</f>
        <v>9.688196977821549E-2</v>
      </c>
      <c r="O361" s="6">
        <f ca="1">(N$361/N$13+ IF(O$2&gt;0,O$2*IF(O$6=OFFSET(Assumptions!$B$8,0,$C$1),SUMPRODUCT(OFFSET(N$361,0,0,1,-OFFSET(Assumptions!$B$84,0,$C$1)),OFFSET(N$15,0,0,1,-OFFSET(Assumptions!$B$84,0,$C$1)))/OFFSET(Assumptions!$B$84,0,$C$1)-N$361/N$13,(N$361/N$13-M$361/M$13)/N$2),0))*O$13</f>
        <v>0.10166374930832182</v>
      </c>
      <c r="P361" s="6">
        <f ca="1">(O$361/O$13+ IF(P$2&gt;0,P$2*IF(P$6=OFFSET(Assumptions!$B$8,0,$C$1),SUMPRODUCT(OFFSET(O$361,0,0,1,-OFFSET(Assumptions!$B$84,0,$C$1)),OFFSET(O$15,0,0,1,-OFFSET(Assumptions!$B$84,0,$C$1)))/OFFSET(Assumptions!$B$84,0,$C$1)-O$361/O$13,(O$361/O$13-N$361/N$13)/O$2),0))*P$13</f>
        <v>0.10635317170205358</v>
      </c>
      <c r="Q361" s="6">
        <f ca="1">(P$361/P$13+ IF(Q$2&gt;0,Q$2*IF(Q$6=OFFSET(Assumptions!$B$8,0,$C$1),SUMPRODUCT(OFFSET(P$361,0,0,1,-OFFSET(Assumptions!$B$84,0,$C$1)),OFFSET(P$15,0,0,1,-OFFSET(Assumptions!$B$84,0,$C$1)))/OFFSET(Assumptions!$B$84,0,$C$1)-P$361/P$13,(P$361/P$13-O$361/O$13)/P$2),0))*Q$13</f>
        <v>0.11092312098704121</v>
      </c>
      <c r="R361" s="6">
        <f ca="1">(Q$361/Q$13+ IF(R$2&gt;0,R$2*IF(R$6=OFFSET(Assumptions!$B$8,0,$C$1),SUMPRODUCT(OFFSET(Q$361,0,0,1,-OFFSET(Assumptions!$B$84,0,$C$1)),OFFSET(Q$15,0,0,1,-OFFSET(Assumptions!$B$84,0,$C$1)))/OFFSET(Assumptions!$B$84,0,$C$1)-Q$361/Q$13,(Q$361/Q$13-P$361/P$13)/Q$2),0))*R$13</f>
        <v>0.11563733788840545</v>
      </c>
      <c r="S361" s="6">
        <f ca="1">(R$361/R$13+ IF(S$2&gt;0,S$2*IF(S$6=OFFSET(Assumptions!$B$8,0,$C$1),SUMPRODUCT(OFFSET(R$361,0,0,1,-OFFSET(Assumptions!$B$84,0,$C$1)),OFFSET(R$15,0,0,1,-OFFSET(Assumptions!$B$84,0,$C$1)))/OFFSET(Assumptions!$B$84,0,$C$1)-R$361/R$13,(R$361/R$13-Q$361/Q$13)/R$2),0))*S$13</f>
        <v>0.12050986268263056</v>
      </c>
      <c r="T361" s="6">
        <f ca="1">(S$361/S$13+ IF(T$2&gt;0,T$2*IF(T$6=OFFSET(Assumptions!$B$8,0,$C$1),SUMPRODUCT(OFFSET(S$361,0,0,1,-OFFSET(Assumptions!$B$84,0,$C$1)),OFFSET(S$15,0,0,1,-OFFSET(Assumptions!$B$84,0,$C$1)))/OFFSET(Assumptions!$B$84,0,$C$1)-S$361/S$13,(S$361/S$13-R$361/R$13)/S$2),0))*T$13</f>
        <v>0.12554512926530029</v>
      </c>
      <c r="U361" s="6">
        <f ca="1">(T$361/T$13+ IF(U$2&gt;0,U$2*IF(U$6=OFFSET(Assumptions!$B$8,0,$C$1),SUMPRODUCT(OFFSET(T$361,0,0,1,-OFFSET(Assumptions!$B$84,0,$C$1)),OFFSET(T$15,0,0,1,-OFFSET(Assumptions!$B$84,0,$C$1)))/OFFSET(Assumptions!$B$84,0,$C$1)-T$361/T$13,(T$361/T$13-S$361/S$13)/T$2),0))*U$13</f>
        <v>0.13075835895191032</v>
      </c>
    </row>
    <row r="362" spans="1:21" x14ac:dyDescent="0.2">
      <c r="A362" s="1" t="s">
        <v>484</v>
      </c>
      <c r="B362" s="4" t="str">
        <f>$B$37</f>
        <v>From Fiscal</v>
      </c>
      <c r="D362" s="14">
        <f ca="1">'Fiscal Forecasts'!D$117-SUM(D$359:D$361)</f>
        <v>-0.45799999999999841</v>
      </c>
      <c r="E362" s="14">
        <f ca="1">'Fiscal Forecasts'!E$117-SUM(E$359:E$361)</f>
        <v>-0.40899999999999892</v>
      </c>
      <c r="F362" s="14">
        <f ca="1">'Fiscal Forecasts'!F$117-SUM(F$359:F$361)</f>
        <v>-1.083000000000002</v>
      </c>
      <c r="G362" s="15">
        <f ca="1">'Fiscal Forecasts'!G$117-SUM(G$359:G$361)</f>
        <v>-0.95100000000000051</v>
      </c>
      <c r="H362" s="15">
        <f ca="1">'Fiscal Forecasts'!H$117-SUM(H$359:H$361)</f>
        <v>-0.97900000000000631</v>
      </c>
      <c r="I362" s="15">
        <f ca="1">'Fiscal Forecasts'!I$117-SUM(I$359:I$361)</f>
        <v>-1.0120000000000005</v>
      </c>
      <c r="J362" s="15">
        <f ca="1">'Fiscal Forecasts'!J$117-SUM(J$359:J$361)</f>
        <v>-1.0510000000000019</v>
      </c>
      <c r="K362" s="15">
        <f ca="1">'Fiscal Forecasts'!K$117-SUM(K$359:K$361)</f>
        <v>-1.090999999999994</v>
      </c>
      <c r="L362" s="6">
        <f ca="1">IF(L$6=OFFSET(Assumptions!$B$8,0,$C$1),AVERAGE(I$362/I$360,J$362/J$360,K$362/K$360),K$362/K$360)*L$360</f>
        <v>-1.1189208668146167</v>
      </c>
      <c r="M362" s="6">
        <f ca="1">IF(M$6=OFFSET(Assumptions!$B$8,0,$C$1),AVERAGE(J$362/J$360,K$362/K$360,L$362/L$360),L$362/L$360)*M$360</f>
        <v>-1.1654143752139146</v>
      </c>
      <c r="N362" s="6">
        <f ca="1">IF(N$6=OFFSET(Assumptions!$B$8,0,$C$1),AVERAGE(K$362/K$360,L$362/L$360,M$362/M$360),M$362/M$360)*N$360</f>
        <v>-1.2140116503607608</v>
      </c>
      <c r="O362" s="6">
        <f ca="1">IF(O$6=OFFSET(Assumptions!$B$8,0,$C$1),AVERAGE(L$362/L$360,M$362/M$360,N$362/N$360),N$362/N$360)*O$360</f>
        <v>-1.2674765574314095</v>
      </c>
      <c r="P362" s="6">
        <f ca="1">IF(P$6=OFFSET(Assumptions!$B$8,0,$C$1),AVERAGE(M$362/M$360,N$362/N$360,O$362/O$360),O$362/O$360)*P$360</f>
        <v>-1.3228409266083452</v>
      </c>
      <c r="Q362" s="6">
        <f ca="1">IF(Q$6=OFFSET(Assumptions!$B$8,0,$C$1),AVERAGE(N$362/N$360,O$362/O$360,P$362/P$360),P$362/P$360)*Q$360</f>
        <v>-1.38441845159946</v>
      </c>
      <c r="R362" s="6">
        <f ca="1">IF(R$6=OFFSET(Assumptions!$B$8,0,$C$1),AVERAGE(O$362/O$360,P$362/P$360,Q$362/Q$360),Q$362/Q$360)*R$360</f>
        <v>-1.447702899839193</v>
      </c>
      <c r="S362" s="6">
        <f ca="1">IF(S$6=OFFSET(Assumptions!$B$8,0,$C$1),AVERAGE(P$362/P$360,Q$362/Q$360,R$362/R$360),R$362/R$360)*S$360</f>
        <v>-1.5159733015426409</v>
      </c>
      <c r="T362" s="6">
        <f ca="1">IF(T$6=OFFSET(Assumptions!$B$8,0,$C$1),AVERAGE(Q$362/Q$360,R$362/R$360,S$362/S$360),S$362/S$360)*T$360</f>
        <v>-1.5859328746735644</v>
      </c>
      <c r="U362" s="6">
        <f ca="1">IF(U$6=OFFSET(Assumptions!$B$8,0,$C$1),AVERAGE(R$362/R$360,S$362/S$360,T$362/T$360),T$362/T$360)*U$360</f>
        <v>-1.6615207473485027</v>
      </c>
    </row>
    <row r="363" spans="1:21" ht="15" x14ac:dyDescent="0.25">
      <c r="A363" s="2" t="s">
        <v>585</v>
      </c>
      <c r="B363" s="4"/>
      <c r="D363" s="34">
        <f t="shared" ref="D363:U363" ca="1" si="173">SUM(D$359:D$362)</f>
        <v>25.408000000000001</v>
      </c>
      <c r="E363" s="34">
        <f t="shared" ca="1" si="173"/>
        <v>24.216999999999999</v>
      </c>
      <c r="F363" s="34">
        <f t="shared" ca="1" si="173"/>
        <v>30.7</v>
      </c>
      <c r="G363" s="33">
        <f t="shared" ca="1" si="173"/>
        <v>36.44</v>
      </c>
      <c r="H363" s="33">
        <f t="shared" ca="1" si="173"/>
        <v>39.344000000000001</v>
      </c>
      <c r="I363" s="33">
        <f t="shared" ca="1" si="173"/>
        <v>42.978000000000002</v>
      </c>
      <c r="J363" s="33">
        <f t="shared" ca="1" si="173"/>
        <v>47.366999999999997</v>
      </c>
      <c r="K363" s="33">
        <f t="shared" ca="1" si="173"/>
        <v>52.27</v>
      </c>
      <c r="L363" s="37">
        <f t="shared" ca="1" si="173"/>
        <v>55.786675667922836</v>
      </c>
      <c r="M363" s="37">
        <f t="shared" ca="1" si="173"/>
        <v>59.309935518288796</v>
      </c>
      <c r="N363" s="37">
        <f t="shared" ca="1" si="173"/>
        <v>63.050228015515884</v>
      </c>
      <c r="O363" s="37">
        <f t="shared" ca="1" si="173"/>
        <v>67.05313003637572</v>
      </c>
      <c r="P363" s="37">
        <f t="shared" ca="1" si="173"/>
        <v>71.300069661402162</v>
      </c>
      <c r="Q363" s="37">
        <f t="shared" ca="1" si="173"/>
        <v>75.809957123518984</v>
      </c>
      <c r="R363" s="37">
        <f t="shared" ca="1" si="173"/>
        <v>80.419923132776319</v>
      </c>
      <c r="S363" s="37">
        <f t="shared" ca="1" si="173"/>
        <v>85.193216540436424</v>
      </c>
      <c r="T363" s="37">
        <f t="shared" ca="1" si="173"/>
        <v>90.098793062997188</v>
      </c>
      <c r="U363" s="37">
        <f t="shared" ca="1" si="173"/>
        <v>95.188276055248394</v>
      </c>
    </row>
    <row r="364" spans="1:21" ht="15" x14ac:dyDescent="0.25">
      <c r="A364" s="2"/>
      <c r="B364" s="4"/>
      <c r="D364" s="46"/>
      <c r="E364" s="46"/>
      <c r="F364" s="46"/>
      <c r="G364" s="47"/>
      <c r="H364" s="47"/>
      <c r="I364" s="47"/>
      <c r="J364" s="47"/>
      <c r="K364" s="47"/>
      <c r="L364" s="6"/>
      <c r="M364" s="6"/>
      <c r="N364" s="6"/>
      <c r="O364" s="6"/>
      <c r="P364" s="6"/>
      <c r="Q364" s="6"/>
      <c r="R364" s="6"/>
      <c r="S364" s="6"/>
      <c r="T364" s="6"/>
      <c r="U364" s="6"/>
    </row>
    <row r="365" spans="1:21" x14ac:dyDescent="0.2">
      <c r="A365" s="18" t="s">
        <v>401</v>
      </c>
      <c r="G365" s="6"/>
      <c r="H365" s="6"/>
      <c r="I365" s="6"/>
      <c r="J365" s="6"/>
      <c r="K365" s="6"/>
      <c r="L365" s="6"/>
      <c r="M365" s="6"/>
      <c r="N365" s="6"/>
      <c r="O365" s="6"/>
      <c r="P365" s="6"/>
      <c r="Q365" s="6"/>
      <c r="R365" s="6"/>
      <c r="S365" s="6"/>
      <c r="T365" s="6"/>
      <c r="U365" s="6"/>
    </row>
    <row r="366" spans="1:21" x14ac:dyDescent="0.2">
      <c r="A366" s="1" t="s">
        <v>365</v>
      </c>
      <c r="B366" s="4" t="str">
        <f t="shared" ref="B366:B372" si="174">$B$37</f>
        <v>From Fiscal</v>
      </c>
      <c r="D366" s="14">
        <f>'Fiscal Forecasts'!D$341</f>
        <v>0.76</v>
      </c>
      <c r="E366" s="14">
        <f>'Fiscal Forecasts'!E$341</f>
        <v>0.752</v>
      </c>
      <c r="F366" s="14">
        <f>'Fiscal Forecasts'!F$341</f>
        <v>0.83299999999999996</v>
      </c>
      <c r="G366" s="15">
        <f>IF($C$3="Yes",'NZS Fund Adjuster'!N$21,'Fiscal Forecasts'!G$341)</f>
        <v>0.80400000000000005</v>
      </c>
      <c r="H366" s="15">
        <f>IF($C$3="Yes",'NZS Fund Adjuster'!O$21,'Fiscal Forecasts'!H$341)</f>
        <v>0.93700000000000006</v>
      </c>
      <c r="I366" s="15">
        <f>IF($C$3="Yes",'NZS Fund Adjuster'!P$21,'Fiscal Forecasts'!I$341)</f>
        <v>1.0189999999999999</v>
      </c>
      <c r="J366" s="15">
        <f>IF($C$3="Yes",'NZS Fund Adjuster'!Q$21,'Fiscal Forecasts'!J$341)</f>
        <v>1.117</v>
      </c>
      <c r="K366" s="15">
        <f>IF($C$3="Yes",'NZS Fund Adjuster'!R$21,'Fiscal Forecasts'!K$341)</f>
        <v>1.236</v>
      </c>
      <c r="L366" s="6">
        <f ca="1">IF(L$6=OFFSET(Assumptions!$B$8,0,$C$1),AVERAGE(I$366/(I$366-I$368+I$369),J$366/(J$366-J$368+J$369),K$366/(K$366-K$368+K$369)),(K$366-IF($C$3="Yes",'NZS Fund Adjuster'!R$25,Exogenous!R$10))/(K$366-IF($C$3="Yes",'NZS Fund Adjuster'!R$25,Exogenous!R$10)-K$368+K$369))*IF($C$3="Yes",'NZS Fund Adjuster'!S$21-'NZS Fund Adjuster'!S$23+'NZS Fund Adjuster'!S$24,Exogenous!S$7) +IF($C$3="Yes",'NZS Fund Adjuster'!S$25,Exogenous!S$10)</f>
        <v>1.1524431693748995</v>
      </c>
      <c r="M366" s="6">
        <f ca="1">IF(M$6=OFFSET(Assumptions!$B$8,0,$C$1),AVERAGE(J$366/(J$366-J$368+J$369),K$366/(K$366-K$368+K$369),L$366/(L$366-L$368+L$369)),(L$366-IF($C$3="Yes",'NZS Fund Adjuster'!S$25,Exogenous!S$10))/(L$366-IF($C$3="Yes",'NZS Fund Adjuster'!S$25,Exogenous!S$10)-L$368+L$369))*IF($C$3="Yes",'NZS Fund Adjuster'!T$21-'NZS Fund Adjuster'!T$23+'NZS Fund Adjuster'!T$24,Exogenous!T$7) +IF($C$3="Yes",'NZS Fund Adjuster'!T$25,Exogenous!T$10)</f>
        <v>1.3005449329297243</v>
      </c>
      <c r="N366" s="6">
        <f ca="1">IF(N$6=OFFSET(Assumptions!$B$8,0,$C$1),AVERAGE(K$366/(K$366-K$368+K$369),L$366/(L$366-L$368+L$369),M$366/(M$366-M$368+M$369)),(M$366-IF($C$3="Yes",'NZS Fund Adjuster'!T$25,Exogenous!T$10))/(M$366-IF($C$3="Yes",'NZS Fund Adjuster'!T$25,Exogenous!T$10)-M$368+M$369))*IF($C$3="Yes",'NZS Fund Adjuster'!U$21-'NZS Fund Adjuster'!U$23+'NZS Fund Adjuster'!U$24,Exogenous!U$7) +IF($C$3="Yes",'NZS Fund Adjuster'!U$25,Exogenous!U$10)</f>
        <v>1.4605416368548461</v>
      </c>
      <c r="O366" s="6">
        <f ca="1">IF(O$6=OFFSET(Assumptions!$B$8,0,$C$1),AVERAGE(L$366/(L$366-L$368+L$369),M$366/(M$366-M$368+M$369),N$366/(N$366-N$368+N$369)),(N$366-IF($C$3="Yes",'NZS Fund Adjuster'!U$25,Exogenous!U$10))/(N$366-IF($C$3="Yes",'NZS Fund Adjuster'!U$25,Exogenous!U$10)-N$368+N$369))*IF($C$3="Yes",'NZS Fund Adjuster'!V$21-'NZS Fund Adjuster'!V$23+'NZS Fund Adjuster'!V$24,Exogenous!V$7) +IF($C$3="Yes",'NZS Fund Adjuster'!V$25,Exogenous!V$10)</f>
        <v>1.6322994547612888</v>
      </c>
      <c r="P366" s="6">
        <f ca="1">IF(P$6=OFFSET(Assumptions!$B$8,0,$C$1),AVERAGE(M$366/(M$366-M$368+M$369),N$366/(N$366-N$368+N$369),O$366/(O$366-O$368+O$369)),(O$366-IF($C$3="Yes",'NZS Fund Adjuster'!V$25,Exogenous!V$10))/(O$366-IF($C$3="Yes",'NZS Fund Adjuster'!V$25,Exogenous!V$10)-O$368+O$369))*IF($C$3="Yes",'NZS Fund Adjuster'!W$21-'NZS Fund Adjuster'!W$23+'NZS Fund Adjuster'!W$24,Exogenous!W$7) +IF($C$3="Yes",'NZS Fund Adjuster'!W$25,Exogenous!W$10)</f>
        <v>1.8158948835412809</v>
      </c>
      <c r="Q366" s="6">
        <f ca="1">IF(Q$6=OFFSET(Assumptions!$B$8,0,$C$1),AVERAGE(N$366/(N$366-N$368+N$369),O$366/(O$366-O$368+O$369),P$366/(P$366-P$368+P$369)),(P$366-IF($C$3="Yes",'NZS Fund Adjuster'!W$25,Exogenous!W$10))/(P$366-IF($C$3="Yes",'NZS Fund Adjuster'!W$25,Exogenous!W$10)-P$368+P$369))*IF($C$3="Yes",'NZS Fund Adjuster'!X$21-'NZS Fund Adjuster'!X$23+'NZS Fund Adjuster'!X$24,Exogenous!X$7) +IF($C$3="Yes",'NZS Fund Adjuster'!X$25,Exogenous!X$10)</f>
        <v>1.9634537268779957</v>
      </c>
      <c r="R366" s="6">
        <f ca="1">IF(R$6=OFFSET(Assumptions!$B$8,0,$C$1),AVERAGE(O$366/(O$366-O$368+O$369),P$366/(P$366-P$368+P$369),Q$366/(Q$366-Q$368+Q$369)),(Q$366-IF($C$3="Yes",'NZS Fund Adjuster'!X$25,Exogenous!X$10))/(Q$366-IF($C$3="Yes",'NZS Fund Adjuster'!X$25,Exogenous!X$10)-Q$368+Q$369))*IF($C$3="Yes",'NZS Fund Adjuster'!Y$21-'NZS Fund Adjuster'!Y$23+'NZS Fund Adjuster'!Y$24,Exogenous!Y$7) +IF($C$3="Yes",'NZS Fund Adjuster'!Y$25,Exogenous!Y$10)</f>
        <v>2.1114344259858351</v>
      </c>
      <c r="S366" s="6">
        <f ca="1">IF(S$6=OFFSET(Assumptions!$B$8,0,$C$1),AVERAGE(P$366/(P$366-P$368+P$369),Q$366/(Q$366-Q$368+Q$369),R$366/(R$366-R$368+R$369)),(R$366-IF($C$3="Yes",'NZS Fund Adjuster'!Y$25,Exogenous!Y$10))/(R$366-IF($C$3="Yes",'NZS Fund Adjuster'!Y$25,Exogenous!Y$10)-R$368+R$369))*IF($C$3="Yes",'NZS Fund Adjuster'!Z$21-'NZS Fund Adjuster'!Z$23+'NZS Fund Adjuster'!Z$24,Exogenous!Z$7) +IF($C$3="Yes",'NZS Fund Adjuster'!Z$25,Exogenous!Z$10)</f>
        <v>2.2627028240182501</v>
      </c>
      <c r="T366" s="6">
        <f ca="1">IF(T$6=OFFSET(Assumptions!$B$8,0,$C$1),AVERAGE(Q$366/(Q$366-Q$368+Q$369),R$366/(R$366-R$368+R$369),S$366/(S$366-S$368+S$369)),(S$366-IF($C$3="Yes",'NZS Fund Adjuster'!Z$25,Exogenous!Z$10))/(S$366-IF($C$3="Yes",'NZS Fund Adjuster'!Z$25,Exogenous!Z$10)-S$368+S$369))*IF($C$3="Yes",'NZS Fund Adjuster'!AA$21-'NZS Fund Adjuster'!AA$23+'NZS Fund Adjuster'!AA$24,Exogenous!AA$7) +IF($C$3="Yes",'NZS Fund Adjuster'!AA$25,Exogenous!AA$10)</f>
        <v>2.4179809764083049</v>
      </c>
      <c r="U366" s="6">
        <f ca="1">IF(U$6=OFFSET(Assumptions!$B$8,0,$C$1),AVERAGE(R$366/(R$366-R$368+R$369),S$366/(S$366-S$368+S$369),T$366/(T$366-T$368+T$369)),(T$366-IF($C$3="Yes",'NZS Fund Adjuster'!AA$25,Exogenous!AA$10))/(T$366-IF($C$3="Yes",'NZS Fund Adjuster'!AA$25,Exogenous!AA$10)-T$368+T$369))*IF($C$3="Yes",'NZS Fund Adjuster'!AB$21-'NZS Fund Adjuster'!AB$23+'NZS Fund Adjuster'!AB$24,Exogenous!AB$7) +IF($C$3="Yes",'NZS Fund Adjuster'!AB$25,Exogenous!AB$10)</f>
        <v>2.5774918283464126</v>
      </c>
    </row>
    <row r="367" spans="1:21" x14ac:dyDescent="0.2">
      <c r="A367" s="1" t="s">
        <v>366</v>
      </c>
      <c r="B367" s="4" t="str">
        <f t="shared" si="174"/>
        <v>From Fiscal</v>
      </c>
      <c r="D367" s="14">
        <f>'Fiscal Forecasts'!D$342</f>
        <v>4.5999999999999999E-2</v>
      </c>
      <c r="E367" s="14">
        <f>'Fiscal Forecasts'!E$342</f>
        <v>0.51200000000000001</v>
      </c>
      <c r="F367" s="14">
        <f>'Fiscal Forecasts'!F$342</f>
        <v>1.139</v>
      </c>
      <c r="G367" s="15">
        <f>IF($C$3="Yes",'NZS Fund Adjuster'!N$22,'Fiscal Forecasts'!G$342)</f>
        <v>0.64200000000000002</v>
      </c>
      <c r="H367" s="15">
        <f>IF($C$3="Yes",'NZS Fund Adjuster'!O$22,'Fiscal Forecasts'!H$342)</f>
        <v>0.80700000000000005</v>
      </c>
      <c r="I367" s="15">
        <f>IF($C$3="Yes",'NZS Fund Adjuster'!P$22,'Fiscal Forecasts'!I$342)</f>
        <v>0.88700000000000001</v>
      </c>
      <c r="J367" s="15">
        <f>IF($C$3="Yes",'NZS Fund Adjuster'!Q$22,'Fiscal Forecasts'!J$342)</f>
        <v>0.98299999999999998</v>
      </c>
      <c r="K367" s="15">
        <f>IF($C$3="Yes",'NZS Fund Adjuster'!R$22,'Fiscal Forecasts'!K$342)</f>
        <v>1.101</v>
      </c>
      <c r="L367" s="6">
        <f>IF($C$3="Yes",'NZS Fund Adjuster'!S$22,Exogenous!S$8)</f>
        <v>0.98273879623278382</v>
      </c>
      <c r="M367" s="6">
        <f>IF($C$3="Yes",'NZS Fund Adjuster'!T$22,Exogenous!T$8)</f>
        <v>1.1090316605609802</v>
      </c>
      <c r="N367" s="6">
        <f>IF($C$3="Yes",'NZS Fund Adjuster'!U$22,Exogenous!U$8)</f>
        <v>1.2454678618375026</v>
      </c>
      <c r="O367" s="6">
        <f>IF($C$3="Yes",'NZS Fund Adjuster'!V$22,Exogenous!V$8)</f>
        <v>1.3919332804355433</v>
      </c>
      <c r="P367" s="6">
        <f>IF($C$3="Yes",'NZS Fund Adjuster'!W$22,Exogenous!W$8)</f>
        <v>1.5484931486075739</v>
      </c>
      <c r="Q367" s="6">
        <f>IF($C$3="Yes",'NZS Fund Adjuster'!X$22,Exogenous!X$8)</f>
        <v>1.6743230410723637</v>
      </c>
      <c r="R367" s="6">
        <f>IF($C$3="Yes",'NZS Fund Adjuster'!Y$22,Exogenous!Y$8)</f>
        <v>1.8005126684409787</v>
      </c>
      <c r="S367" s="6">
        <f>IF($C$3="Yes",'NZS Fund Adjuster'!Z$22,Exogenous!Z$8)</f>
        <v>1.9295058607656557</v>
      </c>
      <c r="T367" s="6">
        <f>IF($C$3="Yes",'NZS Fund Adjuster'!AA$22,Exogenous!AA$8)</f>
        <v>2.0619183463581767</v>
      </c>
      <c r="U367" s="6">
        <f>IF($C$3="Yes",'NZS Fund Adjuster'!AB$22,Exogenous!AB$8)</f>
        <v>2.1979402403529575</v>
      </c>
    </row>
    <row r="368" spans="1:21" x14ac:dyDescent="0.2">
      <c r="A368" s="1" t="s">
        <v>367</v>
      </c>
      <c r="B368" s="4" t="str">
        <f t="shared" si="174"/>
        <v>From Fiscal</v>
      </c>
      <c r="D368" s="14">
        <f>'Fiscal Forecasts'!D$343</f>
        <v>0.19800000000000001</v>
      </c>
      <c r="E368" s="14">
        <f>'Fiscal Forecasts'!E$343</f>
        <v>0.13800000000000001</v>
      </c>
      <c r="F368" s="14">
        <f>'Fiscal Forecasts'!F$343</f>
        <v>0.22700000000000001</v>
      </c>
      <c r="G368" s="15">
        <f>IF($C$3="Yes",'NZS Fund Adjuster'!N$23,'Fiscal Forecasts'!G$343)</f>
        <v>0.24199999999999999</v>
      </c>
      <c r="H368" s="15">
        <f>IF($C$3="Yes",'NZS Fund Adjuster'!O$23,'Fiscal Forecasts'!H$343)</f>
        <v>0.20499999999999999</v>
      </c>
      <c r="I368" s="15">
        <f>IF($C$3="Yes",'NZS Fund Adjuster'!P$23,'Fiscal Forecasts'!I$343)</f>
        <v>0.218</v>
      </c>
      <c r="J368" s="15">
        <f>IF($C$3="Yes",'NZS Fund Adjuster'!Q$23,'Fiscal Forecasts'!J$343)</f>
        <v>0.23200000000000001</v>
      </c>
      <c r="K368" s="15">
        <f>IF($C$3="Yes",'NZS Fund Adjuster'!R$23,'Fiscal Forecasts'!K$343)</f>
        <v>0.247</v>
      </c>
      <c r="L368" s="6">
        <f ca="1">IF(L$6=OFFSET(Assumptions!$B$8,0,$C$1),AVERAGE(I$368/(I$366-I$368+I$369),J$368/(J$366-J$368+J$369),K$368/(K$366-K$368+K$369)),K$368/(K$366-IF($C$3="Yes",'NZS Fund Adjuster'!R$25,Exogenous!R$10)-K$368+K$369))*IF($C$3="Yes",'NZS Fund Adjuster'!S$21-'NZS Fund Adjuster'!S$23+'NZS Fund Adjuster'!S$24,Exogenous!S$7)</f>
        <v>0.23138812936585162</v>
      </c>
      <c r="M368" s="6">
        <f ca="1">IF(M$6=OFFSET(Assumptions!$B$8,0,$C$1),AVERAGE(J$368/(J$366-J$368+J$369),K$368/(K$366-K$368+K$369),L$368/(L$366-L$368+L$369)),L$368/(L$366-IF($C$3="Yes",'NZS Fund Adjuster'!S$25,Exogenous!S$10)-L$368+L$369))*IF($C$3="Yes",'NZS Fund Adjuster'!T$21-'NZS Fund Adjuster'!T$23+'NZS Fund Adjuster'!T$24,Exogenous!T$7)</f>
        <v>0.26112407725065923</v>
      </c>
      <c r="N368" s="6">
        <f ca="1">IF(N$6=OFFSET(Assumptions!$B$8,0,$C$1),AVERAGE(K$368/(K$366-K$368+K$369),L$368/(L$366-L$368+L$369),M$368/(M$366-M$368+M$369)),M$368/(M$366-IF($C$3="Yes",'NZS Fund Adjuster'!T$25,Exogenous!T$10)-M$368+M$369))*IF($C$3="Yes",'NZS Fund Adjuster'!U$21-'NZS Fund Adjuster'!U$23+'NZS Fund Adjuster'!U$24,Exogenous!U$7)</f>
        <v>0.29324829735082847</v>
      </c>
      <c r="O368" s="6">
        <f ca="1">IF(O$6=OFFSET(Assumptions!$B$8,0,$C$1),AVERAGE(L$368/(L$366-L$368+L$369),M$368/(M$366-M$368+M$369),N$368/(N$366-N$368+N$369)),N$368/(N$366-IF($C$3="Yes",'NZS Fund Adjuster'!U$25,Exogenous!U$10)-N$368+N$369))*IF($C$3="Yes",'NZS Fund Adjuster'!V$21-'NZS Fund Adjuster'!V$23+'NZS Fund Adjuster'!V$24,Exogenous!V$7)</f>
        <v>0.32773391993548862</v>
      </c>
      <c r="P368" s="6">
        <f ca="1">IF(P$6=OFFSET(Assumptions!$B$8,0,$C$1),AVERAGE(M$368/(M$366-M$368+M$369),N$368/(N$366-N$368+N$369),O$368/(O$366-O$368+O$369)),O$368/(O$366-IF($C$3="Yes",'NZS Fund Adjuster'!V$25,Exogenous!V$10)-O$368+O$369))*IF($C$3="Yes",'NZS Fund Adjuster'!W$21-'NZS Fund Adjuster'!W$23+'NZS Fund Adjuster'!W$24,Exogenous!W$7)</f>
        <v>0.36459630408981225</v>
      </c>
      <c r="Q368" s="6">
        <f ca="1">IF(Q$6=OFFSET(Assumptions!$B$8,0,$C$1),AVERAGE(N$368/(N$366-N$368+N$369),O$368/(O$366-O$368+O$369),P$368/(P$366-P$368+P$369)),P$368/(P$366-IF($C$3="Yes",'NZS Fund Adjuster'!W$25,Exogenous!W$10)-P$368+P$369))*IF($C$3="Yes",'NZS Fund Adjuster'!X$21-'NZS Fund Adjuster'!X$23+'NZS Fund Adjuster'!X$24,Exogenous!X$7)</f>
        <v>0.39422324417536198</v>
      </c>
      <c r="R368" s="6">
        <f ca="1">IF(R$6=OFFSET(Assumptions!$B$8,0,$C$1),AVERAGE(O$368/(O$366-O$368+O$369),P$368/(P$366-P$368+P$369),Q$368/(Q$366-Q$368+Q$369)),Q$368/(Q$366-IF($C$3="Yes",'NZS Fund Adjuster'!X$25,Exogenous!X$10)-Q$368+Q$369))*IF($C$3="Yes",'NZS Fund Adjuster'!Y$21-'NZS Fund Adjuster'!Y$23+'NZS Fund Adjuster'!Y$24,Exogenous!Y$7)</f>
        <v>0.42393488467854329</v>
      </c>
      <c r="S368" s="6">
        <f ca="1">IF(S$6=OFFSET(Assumptions!$B$8,0,$C$1),AVERAGE(P$368/(P$366-P$368+P$369),Q$368/(Q$366-Q$368+Q$369),R$368/(R$366-R$368+R$369)),R$368/(R$366-IF($C$3="Yes",'NZS Fund Adjuster'!Y$25,Exogenous!Y$10)-R$368+R$369))*IF($C$3="Yes",'NZS Fund Adjuster'!Z$21-'NZS Fund Adjuster'!Z$23+'NZS Fund Adjuster'!Z$24,Exogenous!Z$7)</f>
        <v>0.45430663105444047</v>
      </c>
      <c r="T368" s="6">
        <f ca="1">IF(T$6=OFFSET(Assumptions!$B$8,0,$C$1),AVERAGE(Q$368/(Q$366-Q$368+Q$369),R$368/(R$366-R$368+R$369),S$368/(S$366-S$368+S$369)),S$368/(S$366-IF($C$3="Yes",'NZS Fund Adjuster'!Z$25,Exogenous!Z$10)-S$368+S$369))*IF($C$3="Yes",'NZS Fund Adjuster'!AA$21-'NZS Fund Adjuster'!AA$23+'NZS Fund Adjuster'!AA$24,Exogenous!AA$7)</f>
        <v>0.48548345796245113</v>
      </c>
      <c r="U368" s="6">
        <f ca="1">IF(U$6=OFFSET(Assumptions!$B$8,0,$C$1),AVERAGE(R$368/(R$366-R$368+R$369),S$368/(S$366-S$368+S$369),T$368/(T$366-T$368+T$369)),T$368/(T$366-IF($C$3="Yes",'NZS Fund Adjuster'!AA$25,Exogenous!AA$10)-T$368+T$369))*IF($C$3="Yes",'NZS Fund Adjuster'!AB$21-'NZS Fund Adjuster'!AB$23+'NZS Fund Adjuster'!AB$24,Exogenous!AB$7)</f>
        <v>0.51751012845200928</v>
      </c>
    </row>
    <row r="369" spans="1:21" x14ac:dyDescent="0.2">
      <c r="A369" s="1" t="s">
        <v>377</v>
      </c>
      <c r="B369" s="4" t="str">
        <f t="shared" si="174"/>
        <v>From Fiscal</v>
      </c>
      <c r="D369" s="14">
        <f>'Fiscal Forecasts'!D$344</f>
        <v>3.1560000000000001</v>
      </c>
      <c r="E369" s="14">
        <f>'Fiscal Forecasts'!E$344</f>
        <v>-7.5999999999999998E-2</v>
      </c>
      <c r="F369" s="14">
        <f>'Fiscal Forecasts'!F$344</f>
        <v>5.5119999999999996</v>
      </c>
      <c r="G369" s="15">
        <f>IF($C$3="Yes",'NZS Fund Adjuster'!N$24,'Fiscal Forecasts'!G$344)</f>
        <v>3.8959999999999999</v>
      </c>
      <c r="H369" s="15">
        <f>IF($C$3="Yes",'NZS Fund Adjuster'!O$24,'Fiscal Forecasts'!H$344)</f>
        <v>2.641</v>
      </c>
      <c r="I369" s="15">
        <f>IF($C$3="Yes",'NZS Fund Adjuster'!P$24,'Fiscal Forecasts'!I$344)</f>
        <v>2.8969999999999998</v>
      </c>
      <c r="J369" s="15">
        <f>IF($C$3="Yes",'NZS Fund Adjuster'!Q$24,'Fiscal Forecasts'!J$344)</f>
        <v>3.2090000000000001</v>
      </c>
      <c r="K369" s="15">
        <f>IF($C$3="Yes",'NZS Fund Adjuster'!R$24,'Fiscal Forecasts'!K$344)</f>
        <v>3.593</v>
      </c>
      <c r="L369" s="6">
        <f ca="1">IF(L$6=OFFSET(Assumptions!$B$8,0,$C$1),AVERAGE(I$369/(I$366-I$368+I$369),J$369/(J$366-J$368+J$369),K$369/(K$366-K$368+K$369)),K$369/(K$366-IF($C$3="Yes",'NZS Fund Adjuster'!R$25,Exogenous!R$10)-K$368+K$369))*IF($C$3="Yes",'NZS Fund Adjuster'!S$21-'NZS Fund Adjuster'!S$23+'NZS Fund Adjuster'!S$24,Exogenous!S$7)</f>
        <v>3.2094362994605494</v>
      </c>
      <c r="M369" s="6">
        <f ca="1">IF(M$6=OFFSET(Assumptions!$B$8,0,$C$1),AVERAGE(J$369/(J$366-J$368+J$369),K$369/(K$366-K$368+K$369),L$369/(L$366-L$368+L$369)),L$369/(L$366-IF($C$3="Yes",'NZS Fund Adjuster'!S$25,Exogenous!S$10)-L$368+L$369))*IF($C$3="Yes",'NZS Fund Adjuster'!T$21-'NZS Fund Adjuster'!T$23+'NZS Fund Adjuster'!T$24,Exogenous!T$7)</f>
        <v>3.6218845559978323</v>
      </c>
      <c r="N369" s="6">
        <f ca="1">IF(N$6=OFFSET(Assumptions!$B$8,0,$C$1),AVERAGE(K$369/(K$366-K$368+K$369),L$369/(L$366-L$368+L$369),M$369/(M$366-M$368+M$369)),M$369/(M$366-IF($C$3="Yes",'NZS Fund Adjuster'!T$25,Exogenous!T$10)-M$368+M$369))*IF($C$3="Yes",'NZS Fund Adjuster'!U$21-'NZS Fund Adjuster'!U$23+'NZS Fund Adjuster'!U$24,Exogenous!U$7)</f>
        <v>4.0674590042804812</v>
      </c>
      <c r="O369" s="6">
        <f ca="1">IF(O$6=OFFSET(Assumptions!$B$8,0,$C$1),AVERAGE(L$369/(L$366-L$368+L$369),M$369/(M$366-M$368+M$369),N$369/(N$366-N$368+N$369)),N$369/(N$366-IF($C$3="Yes",'NZS Fund Adjuster'!U$25,Exogenous!U$10)-N$368+N$369))*IF($C$3="Yes",'NZS Fund Adjuster'!V$21-'NZS Fund Adjuster'!V$23+'NZS Fund Adjuster'!V$24,Exogenous!V$7)</f>
        <v>4.5457869515093901</v>
      </c>
      <c r="P369" s="6">
        <f ca="1">IF(P$6=OFFSET(Assumptions!$B$8,0,$C$1),AVERAGE(M$369/(M$366-M$368+M$369),N$369/(N$366-N$368+N$369),O$369/(O$366-O$368+O$369)),O$369/(O$366-IF($C$3="Yes",'NZS Fund Adjuster'!V$25,Exogenous!V$10)-O$368+O$369))*IF($C$3="Yes",'NZS Fund Adjuster'!W$21-'NZS Fund Adjuster'!W$23+'NZS Fund Adjuster'!W$24,Exogenous!W$7)</f>
        <v>5.0570814337016374</v>
      </c>
      <c r="Q369" s="6">
        <f ca="1">IF(Q$6=OFFSET(Assumptions!$B$8,0,$C$1),AVERAGE(N$369/(N$366-N$368+N$369),O$369/(O$366-O$368+O$369),P$369/(P$366-P$368+P$369)),P$369/(P$366-IF($C$3="Yes",'NZS Fund Adjuster'!W$25,Exogenous!W$10)-P$368+P$369))*IF($C$3="Yes",'NZS Fund Adjuster'!X$21-'NZS Fund Adjuster'!X$23+'NZS Fund Adjuster'!X$24,Exogenous!X$7)</f>
        <v>5.4680177129874448</v>
      </c>
      <c r="R369" s="6">
        <f ca="1">IF(R$6=OFFSET(Assumptions!$B$8,0,$C$1),AVERAGE(O$369/(O$366-O$368+O$369),P$369/(P$366-P$368+P$369),Q$369/(Q$366-Q$368+Q$369)),Q$369/(Q$366-IF($C$3="Yes",'NZS Fund Adjuster'!X$25,Exogenous!X$10)-Q$368+Q$369))*IF($C$3="Yes",'NZS Fund Adjuster'!Y$21-'NZS Fund Adjuster'!Y$23+'NZS Fund Adjuster'!Y$24,Exogenous!Y$7)</f>
        <v>5.8801288174281607</v>
      </c>
      <c r="S369" s="6">
        <f ca="1">IF(S$6=OFFSET(Assumptions!$B$8,0,$C$1),AVERAGE(P$369/(P$366-P$368+P$369),Q$369/(Q$366-Q$368+Q$369),R$369/(R$366-R$368+R$369)),R$369/(R$366-IF($C$3="Yes",'NZS Fund Adjuster'!Y$25,Exogenous!Y$10)-R$368+R$369))*IF($C$3="Yes",'NZS Fund Adjuster'!Z$21-'NZS Fund Adjuster'!Z$23+'NZS Fund Adjuster'!Z$24,Exogenous!Z$7)</f>
        <v>6.3013958269500394</v>
      </c>
      <c r="T369" s="6">
        <f ca="1">IF(T$6=OFFSET(Assumptions!$B$8,0,$C$1),AVERAGE(Q$369/(Q$366-Q$368+Q$369),R$369/(R$366-R$368+R$369),S$369/(S$366-S$368+S$369)),S$369/(S$366-IF($C$3="Yes",'NZS Fund Adjuster'!Z$25,Exogenous!Z$10)-S$368+S$369))*IF($C$3="Yes",'NZS Fund Adjuster'!AA$21-'NZS Fund Adjuster'!AA$23+'NZS Fund Adjuster'!AA$24,Exogenous!AA$7)</f>
        <v>6.7338295920476483</v>
      </c>
      <c r="U369" s="6">
        <f ca="1">IF(U$6=OFFSET(Assumptions!$B$8,0,$C$1),AVERAGE(R$369/(R$366-R$368+R$369),S$369/(S$366-S$368+S$369),T$369/(T$366-T$368+T$369)),T$369/(T$366-IF($C$3="Yes",'NZS Fund Adjuster'!AA$25,Exogenous!AA$10)-T$368+T$369))*IF($C$3="Yes",'NZS Fund Adjuster'!AB$21-'NZS Fund Adjuster'!AB$23+'NZS Fund Adjuster'!AB$24,Exogenous!AB$7)</f>
        <v>7.1780509922627429</v>
      </c>
    </row>
    <row r="370" spans="1:21" ht="15" x14ac:dyDescent="0.25">
      <c r="A370" s="2" t="s">
        <v>506</v>
      </c>
      <c r="D370" s="34">
        <f t="shared" ref="D370:K370" si="175">SUM(D$366,D$369)-SUM(D$367,D$368)</f>
        <v>3.6720000000000006</v>
      </c>
      <c r="E370" s="34">
        <f t="shared" si="175"/>
        <v>2.6000000000000023E-2</v>
      </c>
      <c r="F370" s="34">
        <f t="shared" si="175"/>
        <v>4.9789999999999992</v>
      </c>
      <c r="G370" s="33">
        <f t="shared" si="175"/>
        <v>3.8160000000000003</v>
      </c>
      <c r="H370" s="33">
        <f t="shared" si="175"/>
        <v>2.5660000000000003</v>
      </c>
      <c r="I370" s="33">
        <f t="shared" si="175"/>
        <v>2.8109999999999995</v>
      </c>
      <c r="J370" s="33">
        <f t="shared" si="175"/>
        <v>3.1110000000000007</v>
      </c>
      <c r="K370" s="33">
        <f t="shared" si="175"/>
        <v>3.4809999999999999</v>
      </c>
      <c r="L370" s="37">
        <f t="shared" ref="L370:U370" ca="1" si="176">SUM(L$366,-L$367,-L$368,L$369)</f>
        <v>3.1477525432368134</v>
      </c>
      <c r="M370" s="37">
        <f t="shared" ca="1" si="176"/>
        <v>3.552273751115917</v>
      </c>
      <c r="N370" s="37">
        <f t="shared" ca="1" si="176"/>
        <v>3.9892844819469961</v>
      </c>
      <c r="O370" s="37">
        <f t="shared" ca="1" si="176"/>
        <v>4.4584192058996468</v>
      </c>
      <c r="P370" s="37">
        <f t="shared" ca="1" si="176"/>
        <v>4.9598868645455321</v>
      </c>
      <c r="Q370" s="37">
        <f t="shared" ca="1" si="176"/>
        <v>5.3629251546177148</v>
      </c>
      <c r="R370" s="37">
        <f t="shared" ca="1" si="176"/>
        <v>5.7671156902944736</v>
      </c>
      <c r="S370" s="37">
        <f t="shared" ca="1" si="176"/>
        <v>6.180286159148193</v>
      </c>
      <c r="T370" s="37">
        <f t="shared" ca="1" si="176"/>
        <v>6.6044087641353251</v>
      </c>
      <c r="U370" s="37">
        <f t="shared" ca="1" si="176"/>
        <v>7.0400924518041883</v>
      </c>
    </row>
    <row r="371" spans="1:21" x14ac:dyDescent="0.2">
      <c r="A371" s="1" t="s">
        <v>507</v>
      </c>
      <c r="B371" s="4" t="str">
        <f t="shared" si="174"/>
        <v>From Fiscal</v>
      </c>
      <c r="D371" s="14">
        <f>'Fiscal Forecasts'!D$345</f>
        <v>0</v>
      </c>
      <c r="E371" s="14">
        <f>'Fiscal Forecasts'!E$345</f>
        <v>0</v>
      </c>
      <c r="F371" s="14">
        <f>'Fiscal Forecasts'!F$345</f>
        <v>0</v>
      </c>
      <c r="G371" s="15">
        <f>IF($C$3="Yes",'NZS Fund Adjuster'!N$20,'Fiscal Forecasts'!G$345)</f>
        <v>0.5</v>
      </c>
      <c r="H371" s="15">
        <f>IF($C$3="Yes",'NZS Fund Adjuster'!O$20,'Fiscal Forecasts'!H$345)</f>
        <v>1</v>
      </c>
      <c r="I371" s="15">
        <f>IF($C$3="Yes",'NZS Fund Adjuster'!P$20,'Fiscal Forecasts'!I$345)</f>
        <v>1.5</v>
      </c>
      <c r="J371" s="15">
        <f>IF($C$3="Yes",'NZS Fund Adjuster'!Q$20,'Fiscal Forecasts'!J$345)</f>
        <v>2.2000000000000002</v>
      </c>
      <c r="K371" s="15">
        <f>IF($C$3="Yes",'NZS Fund Adjuster'!R$20,'Fiscal Forecasts'!K$345)</f>
        <v>2.5</v>
      </c>
      <c r="L371" s="6">
        <f>IF($C$3="Yes",'NZS Fund Adjuster'!S$20,Exogenous!S$9)</f>
        <v>2.6509999999999998</v>
      </c>
      <c r="M371" s="6">
        <f>IF($C$3="Yes",'NZS Fund Adjuster'!T$20,Exogenous!T$9)</f>
        <v>2.54</v>
      </c>
      <c r="N371" s="6">
        <f>IF($C$3="Yes",'NZS Fund Adjuster'!U$20,Exogenous!U$9)</f>
        <v>2.3679999999999999</v>
      </c>
      <c r="O371" s="6">
        <f>IF($C$3="Yes",'NZS Fund Adjuster'!V$20,Exogenous!V$9)</f>
        <v>2.137</v>
      </c>
      <c r="P371" s="6">
        <f>IF($C$3="Yes",'NZS Fund Adjuster'!W$20,Exogenous!W$9)</f>
        <v>1.8720000000000001</v>
      </c>
      <c r="Q371" s="6">
        <f>IF($C$3="Yes",'NZS Fund Adjuster'!X$20,Exogenous!X$9)</f>
        <v>1.595</v>
      </c>
      <c r="R371" s="6">
        <f>IF($C$3="Yes",'NZS Fund Adjuster'!Y$20,Exogenous!Y$9)</f>
        <v>1.323</v>
      </c>
      <c r="S371" s="6">
        <f>IF($C$3="Yes",'NZS Fund Adjuster'!Z$20,Exogenous!Z$9)</f>
        <v>1.0920000000000001</v>
      </c>
      <c r="T371" s="6">
        <f>IF($C$3="Yes",'NZS Fund Adjuster'!AA$20,Exogenous!AA$9)</f>
        <v>0.86699999999999999</v>
      </c>
      <c r="U371" s="6">
        <f>IF($C$3="Yes",'NZS Fund Adjuster'!AB$20,Exogenous!AB$9)</f>
        <v>0.63400000000000001</v>
      </c>
    </row>
    <row r="372" spans="1:21" x14ac:dyDescent="0.2">
      <c r="A372" s="1" t="s">
        <v>86</v>
      </c>
      <c r="B372" s="4" t="str">
        <f t="shared" si="174"/>
        <v>From Fiscal</v>
      </c>
      <c r="D372" s="14">
        <f>'Fiscal Forecasts'!D$346</f>
        <v>4.1000000000000002E-2</v>
      </c>
      <c r="E372" s="14">
        <f>'Fiscal Forecasts'!E$346</f>
        <v>-2.1000000000000001E-2</v>
      </c>
      <c r="F372" s="14">
        <f>'Fiscal Forecasts'!F$346</f>
        <v>0</v>
      </c>
      <c r="G372" s="15">
        <f>IF($C$3="Yes",'NZS Fund Adjuster'!N$25,'Fiscal Forecasts'!G$346)</f>
        <v>4.2999999999999997E-2</v>
      </c>
      <c r="H372" s="15">
        <f>IF($C$3="Yes",'NZS Fund Adjuster'!O$25,'Fiscal Forecasts'!H$346)</f>
        <v>2.7E-2</v>
      </c>
      <c r="I372" s="15">
        <f>IF($C$3="Yes",'NZS Fund Adjuster'!P$25,'Fiscal Forecasts'!I$346)</f>
        <v>3.1E-2</v>
      </c>
      <c r="J372" s="15">
        <f>IF($C$3="Yes",'NZS Fund Adjuster'!Q$25,'Fiscal Forecasts'!J$346)</f>
        <v>3.5000000000000003E-2</v>
      </c>
      <c r="K372" s="15">
        <f>IF($C$3="Yes",'NZS Fund Adjuster'!R$25,'Fiscal Forecasts'!K$346)</f>
        <v>0.04</v>
      </c>
      <c r="L372" s="6">
        <f ca="1">IF(L$6=OFFSET(Assumptions!$B$8,0,$C$1),0,K$372)</f>
        <v>0</v>
      </c>
      <c r="M372" s="6">
        <f ca="1">IF(M$6=OFFSET(Assumptions!$B$8,0,$C$1),0,L$372)</f>
        <v>0</v>
      </c>
      <c r="N372" s="6">
        <f ca="1">IF(N$6=OFFSET(Assumptions!$B$8,0,$C$1),0,M$372)</f>
        <v>0</v>
      </c>
      <c r="O372" s="6">
        <f ca="1">IF(O$6=OFFSET(Assumptions!$B$8,0,$C$1),0,N$372)</f>
        <v>0</v>
      </c>
      <c r="P372" s="6">
        <f ca="1">IF(P$6=OFFSET(Assumptions!$B$8,0,$C$1),0,O$372)</f>
        <v>0</v>
      </c>
      <c r="Q372" s="6">
        <f ca="1">IF(Q$6=OFFSET(Assumptions!$B$8,0,$C$1),0,P$372)</f>
        <v>0</v>
      </c>
      <c r="R372" s="6">
        <f ca="1">IF(R$6=OFFSET(Assumptions!$B$8,0,$C$1),0,Q$372)</f>
        <v>0</v>
      </c>
      <c r="S372" s="6">
        <f ca="1">IF(S$6=OFFSET(Assumptions!$B$8,0,$C$1),0,R$372)</f>
        <v>0</v>
      </c>
      <c r="T372" s="6">
        <f ca="1">IF(T$6=OFFSET(Assumptions!$B$8,0,$C$1),0,S$372)</f>
        <v>0</v>
      </c>
      <c r="U372" s="6">
        <f ca="1">IF(U$6=OFFSET(Assumptions!$B$8,0,$C$1),0,T$372)</f>
        <v>0</v>
      </c>
    </row>
    <row r="373" spans="1:21" ht="15" x14ac:dyDescent="0.25">
      <c r="A373" s="2" t="s">
        <v>370</v>
      </c>
      <c r="C373" s="60">
        <f>'Fiscal Forecasts'!C$347</f>
        <v>25.809000000000001</v>
      </c>
      <c r="D373" s="34">
        <f t="shared" ref="D373:L373" si="177">SUM(C$373,D$370:D$372)</f>
        <v>29.522000000000002</v>
      </c>
      <c r="E373" s="34">
        <f t="shared" si="177"/>
        <v>29.527000000000001</v>
      </c>
      <c r="F373" s="34">
        <f t="shared" si="177"/>
        <v>34.506</v>
      </c>
      <c r="G373" s="33">
        <f t="shared" si="177"/>
        <v>38.865000000000002</v>
      </c>
      <c r="H373" s="33">
        <f t="shared" si="177"/>
        <v>42.458000000000006</v>
      </c>
      <c r="I373" s="33">
        <f t="shared" si="177"/>
        <v>46.800000000000004</v>
      </c>
      <c r="J373" s="33">
        <f t="shared" si="177"/>
        <v>52.146000000000001</v>
      </c>
      <c r="K373" s="33">
        <f t="shared" si="177"/>
        <v>58.167000000000002</v>
      </c>
      <c r="L373" s="37">
        <f t="shared" ca="1" si="177"/>
        <v>63.965752543236817</v>
      </c>
      <c r="M373" s="37">
        <f t="shared" ref="M373" ca="1" si="178">SUM(L$373,M$370:M$372)</f>
        <v>70.058026294352743</v>
      </c>
      <c r="N373" s="37">
        <f t="shared" ref="N373" ca="1" si="179">SUM(M$373,N$370:N$372)</f>
        <v>76.415310776299734</v>
      </c>
      <c r="O373" s="37">
        <f t="shared" ref="O373" ca="1" si="180">SUM(N$373,O$370:O$372)</f>
        <v>83.010729982199379</v>
      </c>
      <c r="P373" s="37">
        <f t="shared" ref="P373" ca="1" si="181">SUM(O$373,P$370:P$372)</f>
        <v>89.842616846744917</v>
      </c>
      <c r="Q373" s="37">
        <f t="shared" ref="Q373" ca="1" si="182">SUM(P$373,Q$370:Q$372)</f>
        <v>96.800542001362629</v>
      </c>
      <c r="R373" s="37">
        <f t="shared" ref="R373" ca="1" si="183">SUM(Q$373,R$370:R$372)</f>
        <v>103.8906576916571</v>
      </c>
      <c r="S373" s="37">
        <f t="shared" ref="S373" ca="1" si="184">SUM(R$373,S$370:S$372)</f>
        <v>111.16294385080529</v>
      </c>
      <c r="T373" s="37">
        <f t="shared" ref="T373" ca="1" si="185">SUM(S$373,T$370:T$372)</f>
        <v>118.63435261494062</v>
      </c>
      <c r="U373" s="37">
        <f t="shared" ref="U373" ca="1" si="186">SUM(T$373,U$370:U$372)</f>
        <v>126.30844506674481</v>
      </c>
    </row>
    <row r="374" spans="1:21" x14ac:dyDescent="0.2">
      <c r="A374" s="4" t="s">
        <v>510</v>
      </c>
    </row>
    <row r="375" spans="1:21" x14ac:dyDescent="0.2">
      <c r="A375" s="1" t="s">
        <v>371</v>
      </c>
      <c r="B375" s="4" t="str">
        <f t="shared" ref="B375:B380" si="187">$B$37</f>
        <v>From Fiscal</v>
      </c>
      <c r="D375" s="14">
        <f>'Fiscal Forecasts'!D$348</f>
        <v>31.274000000000001</v>
      </c>
      <c r="E375" s="14">
        <f>'Fiscal Forecasts'!E$348</f>
        <v>30.561</v>
      </c>
      <c r="F375" s="14">
        <f>'Fiscal Forecasts'!F$348</f>
        <v>37.344999999999999</v>
      </c>
      <c r="G375" s="15">
        <f>IF($C$3="Yes",ROUND(G$373*'Fiscal Forecasts'!G$348/SUM('Fiscal Forecasts'!G$348:G$350),3),'Fiscal Forecasts'!G$348)</f>
        <v>40.540999999999997</v>
      </c>
      <c r="H375" s="15">
        <f>IF($C$3="Yes",ROUND(H$373*'Fiscal Forecasts'!H$348/SUM('Fiscal Forecasts'!H$348:H$350),3),'Fiscal Forecasts'!H$348)</f>
        <v>43.953000000000003</v>
      </c>
      <c r="I375" s="15">
        <f>IF($C$3="Yes",ROUND(I$373*'Fiscal Forecasts'!I$348/SUM('Fiscal Forecasts'!I$348:I$350),3),'Fiscal Forecasts'!I$348)</f>
        <v>48.384999999999998</v>
      </c>
      <c r="J375" s="15">
        <f>IF($C$3="Yes",ROUND(J$373*'Fiscal Forecasts'!J$348/SUM('Fiscal Forecasts'!J$348:J$350),3),'Fiscal Forecasts'!J$348)</f>
        <v>53.863</v>
      </c>
      <c r="K375" s="15">
        <f>IF($C$3="Yes",ROUND(K$373*'Fiscal Forecasts'!K$348/SUM('Fiscal Forecasts'!K$348:K$350),3),'Fiscal Forecasts'!K$348)</f>
        <v>59.954000000000001</v>
      </c>
      <c r="L375" s="6">
        <f t="shared" ref="L375:U375" ca="1" si="188">SUM(L$335,L$341,L$348,L$357,L$380)</f>
        <v>64.414500111681775</v>
      </c>
      <c r="M375" s="6">
        <f t="shared" ca="1" si="188"/>
        <v>70.586034369413355</v>
      </c>
      <c r="N375" s="6">
        <f t="shared" ca="1" si="188"/>
        <v>77.005330718043638</v>
      </c>
      <c r="O375" s="6">
        <f t="shared" ca="1" si="188"/>
        <v>83.665727135412055</v>
      </c>
      <c r="P375" s="6">
        <f t="shared" ca="1" si="188"/>
        <v>90.565361478384176</v>
      </c>
      <c r="Q375" s="6">
        <f t="shared" ca="1" si="188"/>
        <v>97.596960171359228</v>
      </c>
      <c r="R375" s="6">
        <f t="shared" ca="1" si="188"/>
        <v>104.76218994534018</v>
      </c>
      <c r="S375" s="6">
        <f t="shared" ca="1" si="188"/>
        <v>112.10963015333382</v>
      </c>
      <c r="T375" s="6">
        <f t="shared" ca="1" si="188"/>
        <v>119.65768677217672</v>
      </c>
      <c r="U375" s="6">
        <f t="shared" ca="1" si="188"/>
        <v>127.41055778400737</v>
      </c>
    </row>
    <row r="376" spans="1:21" x14ac:dyDescent="0.2">
      <c r="A376" s="1" t="s">
        <v>511</v>
      </c>
      <c r="B376" s="4" t="str">
        <f t="shared" si="187"/>
        <v>From Fiscal</v>
      </c>
      <c r="D376" s="14">
        <f>-'Fiscal Forecasts'!D$349</f>
        <v>3.145</v>
      </c>
      <c r="E376" s="14">
        <f>-'Fiscal Forecasts'!E$349</f>
        <v>2.58</v>
      </c>
      <c r="F376" s="14">
        <f>-'Fiscal Forecasts'!F$349</f>
        <v>4.6559999999999997</v>
      </c>
      <c r="G376" s="15">
        <f>-IF($C$3="Yes",ROUND(G$373*'Fiscal Forecasts'!G$349/SUM('Fiscal Forecasts'!G$348:G$350),3),'Fiscal Forecasts'!G$349)</f>
        <v>3.53</v>
      </c>
      <c r="H376" s="15">
        <f>-IF($C$3="Yes",ROUND(H$373*'Fiscal Forecasts'!H$349/SUM('Fiscal Forecasts'!H$348:H$350),3),'Fiscal Forecasts'!H$349)</f>
        <v>3.4649999999999999</v>
      </c>
      <c r="I376" s="15">
        <f>-IF($C$3="Yes",ROUND(I$373*'Fiscal Forecasts'!I$349/SUM('Fiscal Forecasts'!I$348:I$350),3),'Fiscal Forecasts'!I$349)</f>
        <v>3.6179999999999999</v>
      </c>
      <c r="J376" s="15">
        <f>-IF($C$3="Yes",ROUND(J$373*'Fiscal Forecasts'!J$349/SUM('Fiscal Forecasts'!J$348:J$350),3),'Fiscal Forecasts'!J$349)</f>
        <v>3.8159999999999998</v>
      </c>
      <c r="K376" s="15">
        <f>-IF($C$3="Yes",ROUND(K$373*'Fiscal Forecasts'!K$349/SUM('Fiscal Forecasts'!K$348:K$350),3),'Fiscal Forecasts'!K$349)</f>
        <v>3.9550000000000001</v>
      </c>
      <c r="L376" s="6">
        <f t="shared" ref="L376:U376" ca="1" si="189">SUM(L$69,L$448)</f>
        <v>4.3200706574778431</v>
      </c>
      <c r="M376" s="6">
        <f t="shared" ca="1" si="189"/>
        <v>4.7665739120698296</v>
      </c>
      <c r="N376" s="6">
        <f t="shared" ca="1" si="189"/>
        <v>5.2105362663298544</v>
      </c>
      <c r="O376" s="6">
        <f t="shared" ca="1" si="189"/>
        <v>5.6718106156061161</v>
      </c>
      <c r="P376" s="6">
        <f t="shared" ca="1" si="189"/>
        <v>6.1500907755696534</v>
      </c>
      <c r="Q376" s="6">
        <f t="shared" ca="1" si="189"/>
        <v>6.6421570202569615</v>
      </c>
      <c r="R376" s="6">
        <f t="shared" ca="1" si="189"/>
        <v>7.1436151691259884</v>
      </c>
      <c r="S376" s="6">
        <f t="shared" ca="1" si="189"/>
        <v>7.6559518760019465</v>
      </c>
      <c r="T376" s="6">
        <f t="shared" ca="1" si="189"/>
        <v>8.1817183654628174</v>
      </c>
      <c r="U376" s="6">
        <f t="shared" ca="1" si="189"/>
        <v>8.7218023566456591</v>
      </c>
    </row>
    <row r="377" spans="1:21" x14ac:dyDescent="0.2">
      <c r="A377" s="1" t="s">
        <v>373</v>
      </c>
      <c r="B377" s="4" t="str">
        <f t="shared" si="187"/>
        <v>From Fiscal</v>
      </c>
      <c r="D377" s="14">
        <f>'Fiscal Forecasts'!D$350</f>
        <v>1.393</v>
      </c>
      <c r="E377" s="14">
        <f>'Fiscal Forecasts'!E$350</f>
        <v>1.546</v>
      </c>
      <c r="F377" s="14">
        <f>'Fiscal Forecasts'!F$350</f>
        <v>1.8169999999999999</v>
      </c>
      <c r="G377" s="15">
        <f>IF($C$3="Yes",G$373-G$375+G$376,'Fiscal Forecasts'!G$350)</f>
        <v>1.8540000000000001</v>
      </c>
      <c r="H377" s="15">
        <f>IF($C$3="Yes",H$373-H$375+H$376,'Fiscal Forecasts'!H$350)</f>
        <v>1.97</v>
      </c>
      <c r="I377" s="15">
        <f>IF($C$3="Yes",I$373-I$375+I$376,'Fiscal Forecasts'!I$350)</f>
        <v>2.0329999999999999</v>
      </c>
      <c r="J377" s="15">
        <f>IF($C$3="Yes",J$373-J$375+J$376,'Fiscal Forecasts'!J$350)</f>
        <v>2.0990000000000002</v>
      </c>
      <c r="K377" s="15">
        <f>IF($C$3="Yes",K$373-K$375+K$376,'Fiscal Forecasts'!K$350)</f>
        <v>2.1680000000000001</v>
      </c>
      <c r="L377" s="6">
        <f t="shared" ref="L377:U377" ca="1" si="190">SUM(L$406,L$420)</f>
        <v>3.8713230890328933</v>
      </c>
      <c r="M377" s="6">
        <f t="shared" ca="1" si="190"/>
        <v>4.2385658370092107</v>
      </c>
      <c r="N377" s="6">
        <f t="shared" ca="1" si="190"/>
        <v>4.6205163245859424</v>
      </c>
      <c r="O377" s="6">
        <f t="shared" ca="1" si="190"/>
        <v>5.0168134623934213</v>
      </c>
      <c r="P377" s="6">
        <f t="shared" ca="1" si="190"/>
        <v>5.4273461439303965</v>
      </c>
      <c r="Q377" s="6">
        <f t="shared" ca="1" si="190"/>
        <v>5.8457388502603509</v>
      </c>
      <c r="R377" s="6">
        <f t="shared" ca="1" si="190"/>
        <v>6.2720829154429039</v>
      </c>
      <c r="S377" s="6">
        <f t="shared" ca="1" si="190"/>
        <v>6.7092655734734254</v>
      </c>
      <c r="T377" s="6">
        <f t="shared" ca="1" si="190"/>
        <v>7.1583842082267255</v>
      </c>
      <c r="U377" s="6">
        <f t="shared" ca="1" si="190"/>
        <v>7.6196896393831146</v>
      </c>
    </row>
    <row r="378" spans="1:21" x14ac:dyDescent="0.2">
      <c r="B378" s="4"/>
    </row>
    <row r="379" spans="1:21" x14ac:dyDescent="0.2">
      <c r="A379" s="18" t="s">
        <v>216</v>
      </c>
      <c r="B379" s="4"/>
      <c r="D379" s="14"/>
      <c r="E379" s="14"/>
      <c r="F379" s="14"/>
      <c r="G379" s="15"/>
      <c r="H379" s="15"/>
      <c r="I379" s="15"/>
      <c r="J379" s="15"/>
      <c r="K379" s="15"/>
      <c r="L379" s="15"/>
      <c r="M379" s="15"/>
      <c r="N379" s="15"/>
      <c r="O379" s="15"/>
      <c r="P379" s="15"/>
      <c r="Q379" s="15"/>
      <c r="R379" s="15"/>
      <c r="S379" s="15"/>
      <c r="T379" s="15"/>
      <c r="U379" s="15"/>
    </row>
    <row r="380" spans="1:21" x14ac:dyDescent="0.2">
      <c r="A380" s="1" t="s">
        <v>586</v>
      </c>
      <c r="B380" s="4" t="str">
        <f t="shared" si="187"/>
        <v>From Fiscal</v>
      </c>
      <c r="D380" s="14">
        <f>'Fiscal Forecasts'!D$171-D$73</f>
        <v>0.96799999999999997</v>
      </c>
      <c r="E380" s="14">
        <f>'Fiscal Forecasts'!E$171-E$73</f>
        <v>1.375</v>
      </c>
      <c r="F380" s="14">
        <f>'Fiscal Forecasts'!F$171-F$73</f>
        <v>0.99399999999999977</v>
      </c>
      <c r="G380" s="15">
        <f>'Fiscal Forecasts'!G$171-G$73</f>
        <v>1.0530000000000008</v>
      </c>
      <c r="H380" s="15">
        <f>'Fiscal Forecasts'!H$171-H$73</f>
        <v>1.0549999999999997</v>
      </c>
      <c r="I380" s="15">
        <f>'Fiscal Forecasts'!I$171-I$73</f>
        <v>1.0540000000000003</v>
      </c>
      <c r="J380" s="15">
        <f>'Fiscal Forecasts'!J$171-J$73</f>
        <v>1.0530000000000008</v>
      </c>
      <c r="K380" s="15">
        <f>'Fiscal Forecasts'!K$171-K$73</f>
        <v>1.0539999999999985</v>
      </c>
      <c r="L380" s="6">
        <f ca="1">OFFSET(Assumptions!$B$74,0,$C$1)/SUM(OFFSET(Assumptions!$B$71,0,$C$1,6,1))*SUM(L$373,L$69,-L$341,L$448)</f>
        <v>1.2904410296776312</v>
      </c>
      <c r="M380" s="6">
        <f ca="1">OFFSET(Assumptions!$B$74,0,$C$1)/SUM(OFFSET(Assumptions!$B$71,0,$C$1,6,1))*SUM(M$373,M$69,-M$341,M$448)</f>
        <v>1.4128552790030702</v>
      </c>
      <c r="N380" s="6">
        <f ca="1">OFFSET(Assumptions!$B$74,0,$C$1)/SUM(OFFSET(Assumptions!$B$71,0,$C$1,6,1))*SUM(N$373,N$69,-N$341,N$448)</f>
        <v>1.5401721081953141</v>
      </c>
      <c r="O380" s="6">
        <f ca="1">OFFSET(Assumptions!$B$74,0,$C$1)/SUM(OFFSET(Assumptions!$B$71,0,$C$1,6,1))*SUM(O$373,O$69,-O$341,O$448)</f>
        <v>1.6722711541311404</v>
      </c>
      <c r="P380" s="6">
        <f ca="1">OFFSET(Assumptions!$B$74,0,$C$1)/SUM(OFFSET(Assumptions!$B$71,0,$C$1,6,1))*SUM(P$373,P$69,-P$341,P$448)</f>
        <v>1.8091153813101322</v>
      </c>
      <c r="Q380" s="6">
        <f ca="1">OFFSET(Assumptions!$B$74,0,$C$1)/SUM(OFFSET(Assumptions!$B$71,0,$C$1,6,1))*SUM(Q$373,Q$69,-Q$341,Q$448)</f>
        <v>1.9485796167534504</v>
      </c>
      <c r="R380" s="6">
        <f ca="1">OFFSET(Assumptions!$B$74,0,$C$1)/SUM(OFFSET(Assumptions!$B$71,0,$C$1,6,1))*SUM(R$373,R$69,-R$341,R$448)</f>
        <v>2.0906943051476348</v>
      </c>
      <c r="S380" s="6">
        <f ca="1">OFFSET(Assumptions!$B$74,0,$C$1)/SUM(OFFSET(Assumptions!$B$71,0,$C$1,6,1))*SUM(S$373,S$69,-S$341,S$448)</f>
        <v>2.2364218578244754</v>
      </c>
      <c r="T380" s="6">
        <f ca="1">OFFSET(Assumptions!$B$74,0,$C$1)/SUM(OFFSET(Assumptions!$B$71,0,$C$1,6,1))*SUM(T$373,T$69,-T$341,T$448)</f>
        <v>2.3861280694089086</v>
      </c>
      <c r="U380" s="6">
        <f ca="1">OFFSET(Assumptions!$B$74,0,$C$1)/SUM(OFFSET(Assumptions!$B$71,0,$C$1,6,1))*SUM(U$373,U$69,-U$341,U$448)</f>
        <v>2.5398965464610384</v>
      </c>
    </row>
    <row r="381" spans="1:21" x14ac:dyDescent="0.2">
      <c r="A381" s="1" t="s">
        <v>500</v>
      </c>
      <c r="B381" s="4"/>
      <c r="D381" s="14">
        <f t="shared" ref="D381:U381" si="191">D$395</f>
        <v>8.8639999999999972</v>
      </c>
      <c r="E381" s="14">
        <f t="shared" si="191"/>
        <v>8.9819999999999958</v>
      </c>
      <c r="F381" s="14">
        <f t="shared" si="191"/>
        <v>9.1969999999999938</v>
      </c>
      <c r="G381" s="15">
        <f t="shared" si="191"/>
        <v>9.3169999999999931</v>
      </c>
      <c r="H381" s="15">
        <f t="shared" si="191"/>
        <v>9.2169999999999934</v>
      </c>
      <c r="I381" s="15">
        <f t="shared" si="191"/>
        <v>9.0389999999999926</v>
      </c>
      <c r="J381" s="15">
        <f t="shared" si="191"/>
        <v>8.7889999999999926</v>
      </c>
      <c r="K381" s="15">
        <f t="shared" si="191"/>
        <v>8.4489999999999927</v>
      </c>
      <c r="L381" s="6">
        <f t="shared" si="191"/>
        <v>8.1979999999999933</v>
      </c>
      <c r="M381" s="6">
        <f t="shared" si="191"/>
        <v>7.978999999999993</v>
      </c>
      <c r="N381" s="6">
        <f t="shared" si="191"/>
        <v>7.7839999999999927</v>
      </c>
      <c r="O381" s="6">
        <f t="shared" si="191"/>
        <v>7.608999999999992</v>
      </c>
      <c r="P381" s="6">
        <f t="shared" si="191"/>
        <v>7.454999999999993</v>
      </c>
      <c r="Q381" s="6">
        <f t="shared" si="191"/>
        <v>7.3189999999999928</v>
      </c>
      <c r="R381" s="6">
        <f t="shared" si="191"/>
        <v>7.196999999999993</v>
      </c>
      <c r="S381" s="6">
        <f t="shared" si="191"/>
        <v>7.0859999999999914</v>
      </c>
      <c r="T381" s="6">
        <f t="shared" si="191"/>
        <v>6.98599999999999</v>
      </c>
      <c r="U381" s="6">
        <f t="shared" si="191"/>
        <v>6.8909999999999902</v>
      </c>
    </row>
    <row r="382" spans="1:21" x14ac:dyDescent="0.2">
      <c r="A382" s="1" t="s">
        <v>587</v>
      </c>
      <c r="B382" s="4"/>
      <c r="D382" s="14">
        <f t="shared" ref="D382:K382" si="192">D$73-D$395</f>
        <v>5.2760000000000034</v>
      </c>
      <c r="E382" s="14">
        <f t="shared" si="192"/>
        <v>5.6300000000000043</v>
      </c>
      <c r="F382" s="14">
        <f t="shared" si="192"/>
        <v>2.8170000000000055</v>
      </c>
      <c r="G382" s="15">
        <f t="shared" si="192"/>
        <v>2.6260000000000066</v>
      </c>
      <c r="H382" s="15">
        <f t="shared" si="192"/>
        <v>2.7670000000000066</v>
      </c>
      <c r="I382" s="15">
        <f t="shared" si="192"/>
        <v>2.9120000000000079</v>
      </c>
      <c r="J382" s="15">
        <f t="shared" si="192"/>
        <v>3.0220000000000073</v>
      </c>
      <c r="K382" s="15">
        <f t="shared" si="192"/>
        <v>3.117000000000008</v>
      </c>
      <c r="L382" s="6">
        <f ca="1">(K$382/K$13+ IF(L$2&gt;0,L$2*IF(L$6=OFFSET(Assumptions!$B$8,0,$C$1),SUMPRODUCT(OFFSET(K$382,0,0,1,-OFFSET(Assumptions!$B$84,0,$C$1)),OFFSET(K$15,0,0,1,-OFFSET(Assumptions!$B$84,0,$C$1)))/OFFSET(Assumptions!$B$84,0,$C$1)-K$382/K$13,(K$382/K$13-J$382/J$13)/K$2),0))*L$13</f>
        <v>3.2756792916031934</v>
      </c>
      <c r="M382" s="6">
        <f ca="1">(L$382/L$13+ IF(M$2&gt;0,M$2*IF(M$6=OFFSET(Assumptions!$B$8,0,$C$1),SUMPRODUCT(OFFSET(L$382,0,0,1,-OFFSET(Assumptions!$B$84,0,$C$1)),OFFSET(L$15,0,0,1,-OFFSET(Assumptions!$B$84,0,$C$1)))/OFFSET(Assumptions!$B$84,0,$C$1)-L$382/L$13,(L$382/L$13-K$382/K$13)/L$2),0))*M$13</f>
        <v>3.4354931534713842</v>
      </c>
      <c r="N382" s="6">
        <f ca="1">(M$382/M$13+ IF(N$2&gt;0,N$2*IF(N$6=OFFSET(Assumptions!$B$8,0,$C$1),SUMPRODUCT(OFFSET(M$382,0,0,1,-OFFSET(Assumptions!$B$84,0,$C$1)),OFFSET(M$15,0,0,1,-OFFSET(Assumptions!$B$84,0,$C$1)))/OFFSET(Assumptions!$B$84,0,$C$1)-M$382/M$13,(M$382/M$13-L$382/L$13)/M$2),0))*N$13</f>
        <v>3.5967645080952058</v>
      </c>
      <c r="O382" s="6">
        <f ca="1">(N$382/N$13+ IF(O$2&gt;0,O$2*IF(O$6=OFFSET(Assumptions!$B$8,0,$C$1),SUMPRODUCT(OFFSET(N$382,0,0,1,-OFFSET(Assumptions!$B$84,0,$C$1)),OFFSET(N$15,0,0,1,-OFFSET(Assumptions!$B$84,0,$C$1)))/OFFSET(Assumptions!$B$84,0,$C$1)-N$382/N$13,(N$382/N$13-M$382/M$13)/N$2),0))*O$13</f>
        <v>3.7598223842709846</v>
      </c>
      <c r="P382" s="6">
        <f ca="1">(O$382/O$13+ IF(P$2&gt;0,P$2*IF(P$6=OFFSET(Assumptions!$B$8,0,$C$1),SUMPRODUCT(OFFSET(O$382,0,0,1,-OFFSET(Assumptions!$B$84,0,$C$1)),OFFSET(O$15,0,0,1,-OFFSET(Assumptions!$B$84,0,$C$1)))/OFFSET(Assumptions!$B$84,0,$C$1)-O$382/O$13,(O$382/O$13-N$382/N$13)/O$2),0))*P$13</f>
        <v>3.9257443831601284</v>
      </c>
      <c r="Q382" s="6">
        <f ca="1">(P$382/P$13+ IF(Q$2&gt;0,Q$2*IF(Q$6=OFFSET(Assumptions!$B$8,0,$C$1),SUMPRODUCT(OFFSET(P$382,0,0,1,-OFFSET(Assumptions!$B$84,0,$C$1)),OFFSET(P$15,0,0,1,-OFFSET(Assumptions!$B$84,0,$C$1)))/OFFSET(Assumptions!$B$84,0,$C$1)-P$382/P$13,(P$382/P$13-O$382/O$13)/P$2),0))*Q$13</f>
        <v>4.0944319027681626</v>
      </c>
      <c r="R382" s="6">
        <f ca="1">(Q$382/Q$13+ IF(R$2&gt;0,R$2*IF(R$6=OFFSET(Assumptions!$B$8,0,$C$1),SUMPRODUCT(OFFSET(Q$382,0,0,1,-OFFSET(Assumptions!$B$84,0,$C$1)),OFFSET(Q$15,0,0,1,-OFFSET(Assumptions!$B$84,0,$C$1)))/OFFSET(Assumptions!$B$84,0,$C$1)-Q$382/Q$13,(Q$382/Q$13-P$382/P$13)/Q$2),0))*R$13</f>
        <v>4.2684446776139922</v>
      </c>
      <c r="S382" s="6">
        <f ca="1">(R$382/R$13+ IF(S$2&gt;0,S$2*IF(S$6=OFFSET(Assumptions!$B$8,0,$C$1),SUMPRODUCT(OFFSET(R$382,0,0,1,-OFFSET(Assumptions!$B$84,0,$C$1)),OFFSET(R$15,0,0,1,-OFFSET(Assumptions!$B$84,0,$C$1)))/OFFSET(Assumptions!$B$84,0,$C$1)-R$382/R$13,(R$382/R$13-Q$382/Q$13)/R$2),0))*S$13</f>
        <v>4.4483009671501907</v>
      </c>
      <c r="T382" s="6">
        <f ca="1">(S$382/S$13+ IF(T$2&gt;0,T$2*IF(T$6=OFFSET(Assumptions!$B$8,0,$C$1),SUMPRODUCT(OFFSET(S$382,0,0,1,-OFFSET(Assumptions!$B$84,0,$C$1)),OFFSET(S$15,0,0,1,-OFFSET(Assumptions!$B$84,0,$C$1)))/OFFSET(Assumptions!$B$84,0,$C$1)-S$382/S$13,(S$382/S$13-R$382/R$13)/S$2),0))*T$13</f>
        <v>4.634164436835956</v>
      </c>
      <c r="U382" s="6">
        <f ca="1">(T$382/T$13+ IF(U$2&gt;0,U$2*IF(U$6=OFFSET(Assumptions!$B$8,0,$C$1),SUMPRODUCT(OFFSET(T$382,0,0,1,-OFFSET(Assumptions!$B$84,0,$C$1)),OFFSET(T$15,0,0,1,-OFFSET(Assumptions!$B$84,0,$C$1)))/OFFSET(Assumptions!$B$84,0,$C$1)-T$382/T$13,(T$382/T$13-S$382/S$13)/T$2),0))*U$13</f>
        <v>4.8265969410368417</v>
      </c>
    </row>
    <row r="383" spans="1:21" ht="15" x14ac:dyDescent="0.25">
      <c r="A383" s="2" t="s">
        <v>588</v>
      </c>
      <c r="B383" s="4"/>
      <c r="D383" s="34">
        <f t="shared" ref="D383:U383" si="193">SUM(D$380:D$382)</f>
        <v>15.108000000000001</v>
      </c>
      <c r="E383" s="34">
        <f t="shared" si="193"/>
        <v>15.987</v>
      </c>
      <c r="F383" s="34">
        <f t="shared" si="193"/>
        <v>13.007999999999999</v>
      </c>
      <c r="G383" s="33">
        <f t="shared" si="193"/>
        <v>12.996</v>
      </c>
      <c r="H383" s="33">
        <f t="shared" si="193"/>
        <v>13.039</v>
      </c>
      <c r="I383" s="33">
        <f t="shared" si="193"/>
        <v>13.005000000000001</v>
      </c>
      <c r="J383" s="33">
        <f t="shared" si="193"/>
        <v>12.864000000000001</v>
      </c>
      <c r="K383" s="33">
        <f t="shared" si="193"/>
        <v>12.62</v>
      </c>
      <c r="L383" s="37">
        <f t="shared" ca="1" si="193"/>
        <v>12.764120321280817</v>
      </c>
      <c r="M383" s="37">
        <f t="shared" ca="1" si="193"/>
        <v>12.827348432474448</v>
      </c>
      <c r="N383" s="37">
        <f t="shared" ca="1" si="193"/>
        <v>12.920936616290511</v>
      </c>
      <c r="O383" s="37">
        <f t="shared" ca="1" si="193"/>
        <v>13.041093538402118</v>
      </c>
      <c r="P383" s="37">
        <f t="shared" ca="1" si="193"/>
        <v>13.189859764470253</v>
      </c>
      <c r="Q383" s="37">
        <f t="shared" ca="1" si="193"/>
        <v>13.362011519521605</v>
      </c>
      <c r="R383" s="37">
        <f t="shared" ca="1" si="193"/>
        <v>13.55613898276162</v>
      </c>
      <c r="S383" s="37">
        <f t="shared" ca="1" si="193"/>
        <v>13.770722824974657</v>
      </c>
      <c r="T383" s="37">
        <f t="shared" ca="1" si="193"/>
        <v>14.006292506244854</v>
      </c>
      <c r="U383" s="37">
        <f t="shared" ca="1" si="193"/>
        <v>14.25749348749787</v>
      </c>
    </row>
    <row r="384" spans="1:21" x14ac:dyDescent="0.2">
      <c r="A384" s="1" t="s">
        <v>590</v>
      </c>
      <c r="B384" s="4" t="str">
        <f>$B$37</f>
        <v>From Fiscal</v>
      </c>
      <c r="D384" s="14">
        <f>'Fiscal Forecasts'!D$308</f>
        <v>15.598000000000001</v>
      </c>
      <c r="E384" s="14">
        <f>'Fiscal Forecasts'!E$308</f>
        <v>16.689</v>
      </c>
      <c r="F384" s="14">
        <f>'Fiscal Forecasts'!F$308</f>
        <v>17.795000000000002</v>
      </c>
      <c r="G384" s="15">
        <f>'Fiscal Forecasts'!G$308</f>
        <v>18.402000000000001</v>
      </c>
      <c r="H384" s="15">
        <f>'Fiscal Forecasts'!H$308</f>
        <v>19.501999999999999</v>
      </c>
      <c r="I384" s="15">
        <f>'Fiscal Forecasts'!I$308</f>
        <v>20.602</v>
      </c>
      <c r="J384" s="15">
        <f>'Fiscal Forecasts'!J$308</f>
        <v>21.702000000000002</v>
      </c>
      <c r="K384" s="15">
        <f>'Fiscal Forecasts'!K$308</f>
        <v>22.802</v>
      </c>
      <c r="L384" s="6">
        <f ca="1">IF(L$6=OFFSET(Assumptions!$B$8,0,$C$1),AVERAGE(I$384/I$13,J$384/J$13,K$384/K$13),K$384/K$13)*L$13</f>
        <v>23.730800783905444</v>
      </c>
      <c r="M384" s="6">
        <f ca="1">IF(M$6=OFFSET(Assumptions!$B$8,0,$C$1),AVERAGE(J$384/J$13,K$384/K$13,L$384/L$13),L$384/L$13)*M$13</f>
        <v>24.812828800442624</v>
      </c>
      <c r="N384" s="6">
        <f ca="1">IF(N$6=OFFSET(Assumptions!$B$8,0,$C$1),AVERAGE(K$384/K$13,L$384/L$13,M$384/M$13),M$384/M$13)*N$13</f>
        <v>25.918446501526986</v>
      </c>
      <c r="O384" s="6">
        <f ca="1">IF(O$6=OFFSET(Assumptions!$B$8,0,$C$1),AVERAGE(L$384/L$13,M$384/M$13,N$384/N$13),N$384/N$13)*O$13</f>
        <v>27.052374571270651</v>
      </c>
      <c r="P384" s="6">
        <f ca="1">IF(P$6=OFFSET(Assumptions!$B$8,0,$C$1),AVERAGE(M$384/M$13,N$384/N$13,O$384/O$13),O$384/O$13)*P$13</f>
        <v>28.224808586227763</v>
      </c>
      <c r="Q384" s="6">
        <f ca="1">IF(Q$6=OFFSET(Assumptions!$B$8,0,$C$1),AVERAGE(N$384/N$13,O$384/O$13,P$384/P$13),P$384/P$13)*Q$13</f>
        <v>29.437616269847169</v>
      </c>
      <c r="R384" s="6">
        <f ca="1">IF(R$6=OFFSET(Assumptions!$B$8,0,$C$1),AVERAGE(O$384/O$13,P$384/P$13,Q$384/Q$13),Q$384/Q$13)*R$13</f>
        <v>30.688710783960246</v>
      </c>
      <c r="S384" s="6">
        <f ca="1">IF(S$6=OFFSET(Assumptions!$B$8,0,$C$1),AVERAGE(P$384/P$13,Q$384/Q$13,R$384/R$13),R$384/R$13)*S$13</f>
        <v>31.981818243265071</v>
      </c>
      <c r="T384" s="6">
        <f ca="1">IF(T$6=OFFSET(Assumptions!$B$8,0,$C$1),AVERAGE(Q$384/Q$13,R$384/R$13,S$384/S$13),S$384/S$13)*T$13</f>
        <v>33.318115348485662</v>
      </c>
      <c r="U384" s="6">
        <f ca="1">IF(U$6=OFFSET(Assumptions!$B$8,0,$C$1),AVERAGE(R$384/R$13,S$384/S$13,T$384/T$13),T$384/T$13)*U$13</f>
        <v>34.701641647379923</v>
      </c>
    </row>
    <row r="385" spans="1:21" x14ac:dyDescent="0.2">
      <c r="A385" s="1" t="s">
        <v>591</v>
      </c>
      <c r="B385" s="4" t="str">
        <f>$B$37</f>
        <v>From Fiscal</v>
      </c>
      <c r="D385" s="14">
        <f>'Fiscal Forecasts'!D$118-SUM(D$383:D$384)</f>
        <v>-4.2090000000000032</v>
      </c>
      <c r="E385" s="14">
        <f>'Fiscal Forecasts'!E$118-SUM(E$383:E$384)</f>
        <v>-4.4420000000000002</v>
      </c>
      <c r="F385" s="14">
        <f>'Fiscal Forecasts'!F$118-SUM(F$383:F$384)</f>
        <v>-2.2200000000000024</v>
      </c>
      <c r="G385" s="15">
        <f>'Fiscal Forecasts'!G$118-SUM(G$383:G$384)</f>
        <v>-2.4130000000000038</v>
      </c>
      <c r="H385" s="15">
        <f>'Fiscal Forecasts'!H$118-SUM(H$383:H$384)</f>
        <v>-2.5989999999999966</v>
      </c>
      <c r="I385" s="15">
        <f>'Fiscal Forecasts'!I$118-SUM(I$383:I$384)</f>
        <v>-2.5649999999999977</v>
      </c>
      <c r="J385" s="15">
        <f>'Fiscal Forecasts'!J$118-SUM(J$383:J$384)</f>
        <v>-2.6490000000000009</v>
      </c>
      <c r="K385" s="15">
        <f>'Fiscal Forecasts'!K$118-SUM(K$383:K$384)</f>
        <v>-2.5789999999999935</v>
      </c>
      <c r="L385" s="6">
        <f ca="1">IF(L$6=OFFSET(Assumptions!$B$8,0,$C$1),AVERAGE(I$385/I$384,J$385/J$384,K$385/K$384),K$385/K$384)*L$384</f>
        <v>-2.845078364325591</v>
      </c>
      <c r="M385" s="6">
        <f ca="1">IF(M$6=OFFSET(Assumptions!$B$8,0,$C$1),AVERAGE(J$385/J$384,K$385/K$384,L$385/L$384),L$385/L$384)*M$384</f>
        <v>-2.9748023684785361</v>
      </c>
      <c r="N385" s="6">
        <f ca="1">IF(N$6=OFFSET(Assumptions!$B$8,0,$C$1),AVERAGE(K$385/K$384,L$385/L$384,M$385/M$384),M$385/M$384)*N$384</f>
        <v>-3.1073545326138436</v>
      </c>
      <c r="O385" s="6">
        <f ca="1">IF(O$6=OFFSET(Assumptions!$B$8,0,$C$1),AVERAGE(L$385/L$384,M$385/M$384,N$385/N$384),N$385/N$384)*O$384</f>
        <v>-3.2433008180892657</v>
      </c>
      <c r="P385" s="6">
        <f ca="1">IF(P$6=OFFSET(Assumptions!$B$8,0,$C$1),AVERAGE(M$385/M$384,N$385/N$384,O$385/O$384),O$385/O$384)*P$384</f>
        <v>-3.3838635694236481</v>
      </c>
      <c r="Q385" s="6">
        <f ca="1">IF(Q$6=OFFSET(Assumptions!$B$8,0,$C$1),AVERAGE(N$385/N$384,O$385/O$384,P$385/P$384),P$385/P$384)*Q$384</f>
        <v>-3.5292667074034507</v>
      </c>
      <c r="R385" s="6">
        <f ca="1">IF(R$6=OFFSET(Assumptions!$B$8,0,$C$1),AVERAGE(O$385/O$384,P$385/P$384,Q$385/Q$384),Q$385/Q$384)*R$384</f>
        <v>-3.6792600416462475</v>
      </c>
      <c r="S385" s="6">
        <f ca="1">IF(S$6=OFFSET(Assumptions!$B$8,0,$C$1),AVERAGE(P$385/P$384,Q$385/Q$384,R$385/R$384),R$385/R$384)*S$384</f>
        <v>-3.8342902948904336</v>
      </c>
      <c r="T385" s="6">
        <f ca="1">IF(T$6=OFFSET(Assumptions!$B$8,0,$C$1),AVERAGE(Q$385/Q$384,R$385/R$384,S$385/S$384),S$385/S$384)*T$384</f>
        <v>-3.9944985414217729</v>
      </c>
      <c r="U385" s="6">
        <f ca="1">IF(U$6=OFFSET(Assumptions!$B$8,0,$C$1),AVERAGE(R$385/R$384,S$385/S$384,T$385/T$384),T$385/T$384)*U$384</f>
        <v>-4.1603690813712353</v>
      </c>
    </row>
    <row r="386" spans="1:21" ht="15" x14ac:dyDescent="0.25">
      <c r="A386" s="2" t="s">
        <v>589</v>
      </c>
      <c r="D386" s="34">
        <f t="shared" ref="D386:U386" si="194">SUM(D$383:D$385)</f>
        <v>26.497</v>
      </c>
      <c r="E386" s="34">
        <f t="shared" si="194"/>
        <v>28.234000000000002</v>
      </c>
      <c r="F386" s="34">
        <f t="shared" si="194"/>
        <v>28.582999999999998</v>
      </c>
      <c r="G386" s="33">
        <f t="shared" si="194"/>
        <v>28.984999999999999</v>
      </c>
      <c r="H386" s="33">
        <f t="shared" si="194"/>
        <v>29.942</v>
      </c>
      <c r="I386" s="33">
        <f t="shared" si="194"/>
        <v>31.042000000000002</v>
      </c>
      <c r="J386" s="33">
        <f t="shared" si="194"/>
        <v>31.917000000000002</v>
      </c>
      <c r="K386" s="33">
        <f t="shared" si="194"/>
        <v>32.843000000000004</v>
      </c>
      <c r="L386" s="37">
        <f t="shared" ca="1" si="194"/>
        <v>33.649842740860677</v>
      </c>
      <c r="M386" s="37">
        <f t="shared" ca="1" si="194"/>
        <v>34.665374864438533</v>
      </c>
      <c r="N386" s="37">
        <f t="shared" ca="1" si="194"/>
        <v>35.732028585203651</v>
      </c>
      <c r="O386" s="37">
        <f t="shared" ca="1" si="194"/>
        <v>36.850167291583503</v>
      </c>
      <c r="P386" s="37">
        <f t="shared" ca="1" si="194"/>
        <v>38.030804781274369</v>
      </c>
      <c r="Q386" s="37">
        <f t="shared" ca="1" si="194"/>
        <v>39.270361081965319</v>
      </c>
      <c r="R386" s="37">
        <f t="shared" ca="1" si="194"/>
        <v>40.565589725075625</v>
      </c>
      <c r="S386" s="37">
        <f t="shared" ca="1" si="194"/>
        <v>41.918250773349293</v>
      </c>
      <c r="T386" s="37">
        <f t="shared" ca="1" si="194"/>
        <v>43.329909313308747</v>
      </c>
      <c r="U386" s="37">
        <f t="shared" ca="1" si="194"/>
        <v>44.798766053506554</v>
      </c>
    </row>
    <row r="387" spans="1:21" ht="15" x14ac:dyDescent="0.25">
      <c r="A387" s="2"/>
      <c r="D387" s="46"/>
      <c r="E387" s="46"/>
      <c r="F387" s="46"/>
      <c r="G387" s="47"/>
      <c r="H387" s="47"/>
      <c r="I387" s="47"/>
      <c r="J387" s="47"/>
      <c r="K387" s="47"/>
      <c r="L387" s="47"/>
      <c r="M387" s="47"/>
      <c r="N387" s="47"/>
      <c r="O387" s="47"/>
      <c r="P387" s="47"/>
      <c r="Q387" s="47"/>
      <c r="R387" s="47"/>
      <c r="S387" s="47"/>
      <c r="T387" s="47"/>
      <c r="U387" s="47"/>
    </row>
    <row r="388" spans="1:21" x14ac:dyDescent="0.2">
      <c r="A388" s="18" t="s">
        <v>500</v>
      </c>
    </row>
    <row r="389" spans="1:21" x14ac:dyDescent="0.2">
      <c r="A389" s="1" t="s">
        <v>898</v>
      </c>
      <c r="B389" s="4" t="str">
        <f t="shared" ref="B389:B394" si="195">$B$37</f>
        <v>From Fiscal</v>
      </c>
      <c r="D389" s="14">
        <f>'Fiscal Forecasts'!D$310</f>
        <v>1.518</v>
      </c>
      <c r="E389" s="14">
        <f>'Fiscal Forecasts'!E$310</f>
        <v>1.512</v>
      </c>
      <c r="F389" s="14">
        <f>'Fiscal Forecasts'!F$310</f>
        <v>1.4750000000000001</v>
      </c>
      <c r="G389" s="15">
        <f>'Fiscal Forecasts'!G$310</f>
        <v>1.3759999999999999</v>
      </c>
      <c r="H389" s="15">
        <f>'Fiscal Forecasts'!H$310</f>
        <v>1.3660000000000001</v>
      </c>
      <c r="I389" s="15">
        <f>'Fiscal Forecasts'!I$310</f>
        <v>1.401</v>
      </c>
      <c r="J389" s="15">
        <f>'Fiscal Forecasts'!J$310</f>
        <v>1.452</v>
      </c>
      <c r="K389" s="15">
        <f>'Fiscal Forecasts'!K$310</f>
        <v>1.49</v>
      </c>
      <c r="L389" s="6">
        <f>Exogenous!S$14</f>
        <v>1.5129999999999999</v>
      </c>
      <c r="M389" s="6">
        <f>Exogenous!T$14</f>
        <v>1.5489999999999999</v>
      </c>
      <c r="N389" s="6">
        <f>Exogenous!U$14</f>
        <v>1.5860000000000001</v>
      </c>
      <c r="O389" s="6">
        <f>Exogenous!V$14</f>
        <v>1.6259999999999999</v>
      </c>
      <c r="P389" s="6">
        <f>Exogenous!W$14</f>
        <v>1.67</v>
      </c>
      <c r="Q389" s="6">
        <f>Exogenous!X$14</f>
        <v>1.718</v>
      </c>
      <c r="R389" s="6">
        <f>Exogenous!Y$14</f>
        <v>1.764</v>
      </c>
      <c r="S389" s="6">
        <f>Exogenous!Z$14</f>
        <v>1.81</v>
      </c>
      <c r="T389" s="6">
        <f>Exogenous!AA$14</f>
        <v>1.853</v>
      </c>
      <c r="U389" s="6">
        <f>Exogenous!AB$14</f>
        <v>1.8939999999999999</v>
      </c>
    </row>
    <row r="390" spans="1:21" x14ac:dyDescent="0.2">
      <c r="A390" s="1" t="s">
        <v>900</v>
      </c>
      <c r="B390" s="4" t="str">
        <f t="shared" si="195"/>
        <v>From Fiscal</v>
      </c>
      <c r="D390" s="14">
        <f>'Fiscal Forecasts'!D$311</f>
        <v>1.0999999999999999E-2</v>
      </c>
      <c r="E390" s="14">
        <f>'Fiscal Forecasts'!E$311</f>
        <v>0.01</v>
      </c>
      <c r="F390" s="14">
        <f>'Fiscal Forecasts'!F$311</f>
        <v>0.01</v>
      </c>
      <c r="G390" s="15">
        <f>'Fiscal Forecasts'!G$311</f>
        <v>8.9999999999999993E-3</v>
      </c>
      <c r="H390" s="15">
        <f>'Fiscal Forecasts'!H$311</f>
        <v>8.9999999999999993E-3</v>
      </c>
      <c r="I390" s="15">
        <f>'Fiscal Forecasts'!I$311</f>
        <v>8.0000000000000002E-3</v>
      </c>
      <c r="J390" s="15">
        <f>'Fiscal Forecasts'!J$311</f>
        <v>0.01</v>
      </c>
      <c r="K390" s="15">
        <f>'Fiscal Forecasts'!K$311</f>
        <v>0.01</v>
      </c>
      <c r="L390" s="6">
        <f>Exogenous!S$15</f>
        <v>8.9999999999999993E-3</v>
      </c>
      <c r="M390" s="6">
        <f>Exogenous!T$15</f>
        <v>8.9999999999999993E-3</v>
      </c>
      <c r="N390" s="6">
        <f>Exogenous!U$15</f>
        <v>1.0999999999999999E-2</v>
      </c>
      <c r="O390" s="6">
        <f>Exogenous!V$15</f>
        <v>8.0000000000000002E-3</v>
      </c>
      <c r="P390" s="6">
        <f>Exogenous!W$15</f>
        <v>8.9999999999999993E-3</v>
      </c>
      <c r="Q390" s="6">
        <f>Exogenous!X$15</f>
        <v>0.01</v>
      </c>
      <c r="R390" s="6">
        <f>Exogenous!Y$15</f>
        <v>1.0999999999999999E-2</v>
      </c>
      <c r="S390" s="6">
        <f>Exogenous!Z$15</f>
        <v>8.0000000000000002E-3</v>
      </c>
      <c r="T390" s="6">
        <f>Exogenous!AA$15</f>
        <v>0.01</v>
      </c>
      <c r="U390" s="6">
        <f>Exogenous!AB$15</f>
        <v>0.01</v>
      </c>
    </row>
    <row r="391" spans="1:21" x14ac:dyDescent="0.2">
      <c r="A391" s="1" t="s">
        <v>351</v>
      </c>
      <c r="B391" s="4" t="str">
        <f t="shared" si="195"/>
        <v>From Fiscal</v>
      </c>
      <c r="D391" s="14">
        <f>-'Fiscal Forecasts'!D$312</f>
        <v>0.60199999999999998</v>
      </c>
      <c r="E391" s="14">
        <f>-'Fiscal Forecasts'!E$312</f>
        <v>0.65900000000000003</v>
      </c>
      <c r="F391" s="14">
        <f>-'Fiscal Forecasts'!F$312</f>
        <v>0.66200000000000003</v>
      </c>
      <c r="G391" s="15">
        <f>-'Fiscal Forecasts'!G$312</f>
        <v>0.61499999999999999</v>
      </c>
      <c r="H391" s="15">
        <f>-'Fiscal Forecasts'!H$312</f>
        <v>0.61</v>
      </c>
      <c r="I391" s="15">
        <f>-'Fiscal Forecasts'!I$312</f>
        <v>0.626</v>
      </c>
      <c r="J391" s="15">
        <f>-'Fiscal Forecasts'!J$312</f>
        <v>0.64900000000000002</v>
      </c>
      <c r="K391" s="15">
        <f>-'Fiscal Forecasts'!K$312</f>
        <v>0.66600000000000004</v>
      </c>
      <c r="L391" s="6">
        <f>Exogenous!S$16</f>
        <v>0.70199999999999996</v>
      </c>
      <c r="M391" s="6">
        <f>Exogenous!T$16</f>
        <v>0.72399999999999998</v>
      </c>
      <c r="N391" s="6">
        <f>Exogenous!U$16</f>
        <v>0.745</v>
      </c>
      <c r="O391" s="6">
        <f>Exogenous!V$16</f>
        <v>0.76600000000000001</v>
      </c>
      <c r="P391" s="6">
        <f>Exogenous!W$16</f>
        <v>0.78900000000000003</v>
      </c>
      <c r="Q391" s="6">
        <f>Exogenous!X$16</f>
        <v>0.81399999999999995</v>
      </c>
      <c r="R391" s="6">
        <f>Exogenous!Y$16</f>
        <v>0.83799999999999997</v>
      </c>
      <c r="S391" s="6">
        <f>Exogenous!Z$16</f>
        <v>0.86099999999999999</v>
      </c>
      <c r="T391" s="6">
        <f>Exogenous!AA$16</f>
        <v>0.88400000000000001</v>
      </c>
      <c r="U391" s="6">
        <f>Exogenous!AB$16</f>
        <v>0.90600000000000003</v>
      </c>
    </row>
    <row r="392" spans="1:21" x14ac:dyDescent="0.2">
      <c r="A392" s="1" t="s">
        <v>508</v>
      </c>
      <c r="B392" s="4" t="str">
        <f t="shared" si="195"/>
        <v>From Fiscal</v>
      </c>
      <c r="D392" s="14">
        <f>-'Fiscal Forecasts'!D$313</f>
        <v>1.1140000000000001</v>
      </c>
      <c r="E392" s="14">
        <f>-'Fiscal Forecasts'!E$313</f>
        <v>1.208</v>
      </c>
      <c r="F392" s="14">
        <f>-'Fiscal Forecasts'!F$313</f>
        <v>1.272</v>
      </c>
      <c r="G392" s="15">
        <f>-'Fiscal Forecasts'!G$313</f>
        <v>1.353</v>
      </c>
      <c r="H392" s="15">
        <f>-'Fiscal Forecasts'!H$313</f>
        <v>1.4490000000000001</v>
      </c>
      <c r="I392" s="15">
        <f>-'Fiscal Forecasts'!I$313</f>
        <v>1.5349999999999999</v>
      </c>
      <c r="J392" s="15">
        <f>-'Fiscal Forecasts'!J$313</f>
        <v>1.621</v>
      </c>
      <c r="K392" s="15">
        <f>-'Fiscal Forecasts'!K$313</f>
        <v>1.7110000000000001</v>
      </c>
      <c r="L392" s="6">
        <f>Exogenous!S$17</f>
        <v>1.5940000000000001</v>
      </c>
      <c r="M392" s="6">
        <f>Exogenous!T$17</f>
        <v>1.5960000000000001</v>
      </c>
      <c r="N392" s="6">
        <f>Exogenous!U$17</f>
        <v>1.601</v>
      </c>
      <c r="O392" s="6">
        <f>Exogenous!V$17</f>
        <v>1.607</v>
      </c>
      <c r="P392" s="6">
        <f>Exogenous!W$17</f>
        <v>1.615</v>
      </c>
      <c r="Q392" s="6">
        <f>Exogenous!X$17</f>
        <v>1.627</v>
      </c>
      <c r="R392" s="6">
        <f>Exogenous!Y$17</f>
        <v>1.6439999999999999</v>
      </c>
      <c r="S392" s="6">
        <f>Exogenous!Z$17</f>
        <v>1.6619999999999999</v>
      </c>
      <c r="T392" s="6">
        <f>Exogenous!AA$17</f>
        <v>1.6839999999999999</v>
      </c>
      <c r="U392" s="6">
        <f>Exogenous!AB$17</f>
        <v>1.708</v>
      </c>
    </row>
    <row r="393" spans="1:21" x14ac:dyDescent="0.2">
      <c r="A393" s="1" t="s">
        <v>89</v>
      </c>
      <c r="B393" s="4" t="str">
        <f t="shared" si="195"/>
        <v>From Fiscal</v>
      </c>
      <c r="D393" s="14">
        <f>'Fiscal Forecasts'!D$314</f>
        <v>0.60399999999999998</v>
      </c>
      <c r="E393" s="14">
        <f>'Fiscal Forecasts'!E$314</f>
        <v>0.60299999999999998</v>
      </c>
      <c r="F393" s="14">
        <f>'Fiscal Forecasts'!F$314</f>
        <v>0.60199999999999998</v>
      </c>
      <c r="G393" s="15">
        <f>'Fiscal Forecasts'!G$314</f>
        <v>0.59</v>
      </c>
      <c r="H393" s="15">
        <f>'Fiscal Forecasts'!H$314</f>
        <v>0.58399999999999996</v>
      </c>
      <c r="I393" s="15">
        <f>'Fiscal Forecasts'!I$314</f>
        <v>0.57399999999999995</v>
      </c>
      <c r="J393" s="15">
        <f>'Fiscal Forecasts'!J$314</f>
        <v>0.55800000000000005</v>
      </c>
      <c r="K393" s="15">
        <f>'Fiscal Forecasts'!K$314</f>
        <v>0.53700000000000003</v>
      </c>
      <c r="L393" s="6">
        <f>Exogenous!S$18</f>
        <v>0.52300000000000002</v>
      </c>
      <c r="M393" s="6">
        <f>Exogenous!T$18</f>
        <v>0.54300000000000004</v>
      </c>
      <c r="N393" s="6">
        <f>Exogenous!U$18</f>
        <v>0.55400000000000005</v>
      </c>
      <c r="O393" s="6">
        <f>Exogenous!V$18</f>
        <v>0.56399999999999995</v>
      </c>
      <c r="P393" s="6">
        <f>Exogenous!W$18</f>
        <v>0.57099999999999995</v>
      </c>
      <c r="Q393" s="6">
        <f>Exogenous!X$18</f>
        <v>0.57699999999999996</v>
      </c>
      <c r="R393" s="6">
        <f>Exogenous!Y$18</f>
        <v>0.58499999999999996</v>
      </c>
      <c r="S393" s="6">
        <f>Exogenous!Z$18</f>
        <v>0.59399999999999997</v>
      </c>
      <c r="T393" s="6">
        <f>Exogenous!AA$18</f>
        <v>0.60499999999999998</v>
      </c>
      <c r="U393" s="6">
        <f>Exogenous!AB$18</f>
        <v>0.61499999999999999</v>
      </c>
    </row>
    <row r="394" spans="1:21" x14ac:dyDescent="0.2">
      <c r="A394" s="1" t="s">
        <v>509</v>
      </c>
      <c r="B394" s="4" t="str">
        <f t="shared" si="195"/>
        <v>From Fiscal</v>
      </c>
      <c r="D394" s="14">
        <f>-'Fiscal Forecasts'!D$315</f>
        <v>0.26900000000000002</v>
      </c>
      <c r="E394" s="14">
        <f>-'Fiscal Forecasts'!E$315</f>
        <v>0.14000000000000001</v>
      </c>
      <c r="F394" s="14">
        <f>-'Fiscal Forecasts'!F$315</f>
        <v>-6.2E-2</v>
      </c>
      <c r="G394" s="15">
        <f>-'Fiscal Forecasts'!G$315</f>
        <v>-0.113</v>
      </c>
      <c r="H394" s="15">
        <f>-'Fiscal Forecasts'!H$315</f>
        <v>0</v>
      </c>
      <c r="I394" s="15">
        <f>-'Fiscal Forecasts'!I$315</f>
        <v>0</v>
      </c>
      <c r="J394" s="15">
        <f>-'Fiscal Forecasts'!J$315</f>
        <v>0</v>
      </c>
      <c r="K394" s="15">
        <f>-'Fiscal Forecasts'!K$315</f>
        <v>0</v>
      </c>
      <c r="L394" s="6">
        <f>Exogenous!S$19</f>
        <v>0</v>
      </c>
      <c r="M394" s="6">
        <f>Exogenous!T$19</f>
        <v>0</v>
      </c>
      <c r="N394" s="6">
        <f>Exogenous!U$19</f>
        <v>0</v>
      </c>
      <c r="O394" s="6">
        <f>Exogenous!V$19</f>
        <v>0</v>
      </c>
      <c r="P394" s="6">
        <f>Exogenous!W$19</f>
        <v>0</v>
      </c>
      <c r="Q394" s="6">
        <f>Exogenous!X$19</f>
        <v>0</v>
      </c>
      <c r="R394" s="6">
        <f>Exogenous!Y$19</f>
        <v>0</v>
      </c>
      <c r="S394" s="6">
        <f>Exogenous!Z$19</f>
        <v>0</v>
      </c>
      <c r="T394" s="6">
        <f>Exogenous!AA$19</f>
        <v>0</v>
      </c>
      <c r="U394" s="6">
        <f>Exogenous!AB$19</f>
        <v>0</v>
      </c>
    </row>
    <row r="395" spans="1:21" ht="15" x14ac:dyDescent="0.25">
      <c r="A395" s="2" t="s">
        <v>501</v>
      </c>
      <c r="C395" s="60">
        <f>'Fiscal Forecasts'!C$307</f>
        <v>8.7159999999999993</v>
      </c>
      <c r="D395" s="34">
        <f t="shared" ref="D395:I395" si="196">SUM(C$395,D$389,D$390,-D$391,-D$392,D$393,-D$394)</f>
        <v>8.8639999999999972</v>
      </c>
      <c r="E395" s="34">
        <f t="shared" si="196"/>
        <v>8.9819999999999958</v>
      </c>
      <c r="F395" s="34">
        <f t="shared" si="196"/>
        <v>9.1969999999999938</v>
      </c>
      <c r="G395" s="33">
        <f t="shared" si="196"/>
        <v>9.3169999999999931</v>
      </c>
      <c r="H395" s="33">
        <f t="shared" si="196"/>
        <v>9.2169999999999934</v>
      </c>
      <c r="I395" s="33">
        <f t="shared" si="196"/>
        <v>9.0389999999999926</v>
      </c>
      <c r="J395" s="33">
        <f>SUM(I$395,J$389,J$390,-J$391,-J$392,J$393,-J$394)</f>
        <v>8.7889999999999926</v>
      </c>
      <c r="K395" s="33">
        <f>SUM(J$395,K$389,K$390,-K$391,-K$392,K$393,-K$394)</f>
        <v>8.4489999999999927</v>
      </c>
      <c r="L395" s="37">
        <f t="shared" ref="L395:U395" si="197">SUM(K$395,L$389,L$390,-L$391,-L$392,L$393,-L$394)</f>
        <v>8.1979999999999933</v>
      </c>
      <c r="M395" s="37">
        <f t="shared" si="197"/>
        <v>7.978999999999993</v>
      </c>
      <c r="N395" s="37">
        <f t="shared" si="197"/>
        <v>7.7839999999999927</v>
      </c>
      <c r="O395" s="37">
        <f t="shared" si="197"/>
        <v>7.608999999999992</v>
      </c>
      <c r="P395" s="37">
        <f t="shared" si="197"/>
        <v>7.454999999999993</v>
      </c>
      <c r="Q395" s="37">
        <f t="shared" si="197"/>
        <v>7.3189999999999928</v>
      </c>
      <c r="R395" s="37">
        <f t="shared" si="197"/>
        <v>7.196999999999993</v>
      </c>
      <c r="S395" s="37">
        <f t="shared" si="197"/>
        <v>7.0859999999999914</v>
      </c>
      <c r="T395" s="37">
        <f t="shared" si="197"/>
        <v>6.98599999999999</v>
      </c>
      <c r="U395" s="37">
        <f t="shared" si="197"/>
        <v>6.8909999999999902</v>
      </c>
    </row>
    <row r="396" spans="1:21" ht="15" x14ac:dyDescent="0.25">
      <c r="A396" s="2"/>
      <c r="D396" s="46"/>
      <c r="E396" s="46"/>
      <c r="F396" s="46"/>
      <c r="G396" s="47"/>
      <c r="H396" s="47"/>
      <c r="I396" s="47"/>
      <c r="J396" s="47"/>
      <c r="K396" s="47"/>
      <c r="L396" s="48"/>
      <c r="M396" s="48"/>
      <c r="N396" s="48"/>
      <c r="O396" s="48"/>
      <c r="P396" s="48"/>
      <c r="Q396" s="48"/>
      <c r="R396" s="48"/>
      <c r="S396" s="48"/>
      <c r="T396" s="48"/>
      <c r="U396" s="48"/>
    </row>
    <row r="397" spans="1:21" x14ac:dyDescent="0.2">
      <c r="A397" s="18" t="s">
        <v>217</v>
      </c>
    </row>
    <row r="398" spans="1:21" ht="15" x14ac:dyDescent="0.25">
      <c r="A398" s="2" t="s">
        <v>592</v>
      </c>
      <c r="B398" s="4" t="str">
        <f>$B$37</f>
        <v>From Fiscal</v>
      </c>
      <c r="D398" s="39">
        <f>ROUND('Fiscal Forecasts'!D$175*D$399/SUM(D$399,D$403),3)</f>
        <v>0.45500000000000002</v>
      </c>
      <c r="E398" s="39">
        <f>ROUND('Fiscal Forecasts'!E$175*E$399/SUM(E$399,E$403),3)</f>
        <v>0.47799999999999998</v>
      </c>
      <c r="F398" s="39">
        <f>ROUND('Fiscal Forecasts'!F$175*F$399/SUM(F$399,F$403),3)</f>
        <v>0.504</v>
      </c>
      <c r="G398" s="38">
        <f>ROUND('Fiscal Forecasts'!G$175*G$399/SUM(G$399,G$403),3)</f>
        <v>0.502</v>
      </c>
      <c r="H398" s="38">
        <f>ROUND('Fiscal Forecasts'!H$175*H$399/SUM(H$399,H$403),3)</f>
        <v>0.49199999999999999</v>
      </c>
      <c r="I398" s="38">
        <f>ROUND('Fiscal Forecasts'!I$175*I$399/SUM(I$399,I$403),3)</f>
        <v>0.48399999999999999</v>
      </c>
      <c r="J398" s="38">
        <f>ROUND('Fiscal Forecasts'!J$175*J$399/SUM(J$399,J$403),3)</f>
        <v>0.49099999999999999</v>
      </c>
      <c r="K398" s="38">
        <f>ROUND('Fiscal Forecasts'!K$175*K$399/SUM(K$399,K$403),3)</f>
        <v>0.5</v>
      </c>
      <c r="L398" s="7">
        <f t="shared" ref="L398:U398" ca="1" si="198">K$398*(1+L$23)*(1+L$30)</f>
        <v>0.51480176366635944</v>
      </c>
      <c r="M398" s="7">
        <f t="shared" ca="1" si="198"/>
        <v>0.52994673187457064</v>
      </c>
      <c r="N398" s="7">
        <f t="shared" ca="1" si="198"/>
        <v>0.54544900359895965</v>
      </c>
      <c r="O398" s="7">
        <f t="shared" ca="1" si="198"/>
        <v>0.56129054140705814</v>
      </c>
      <c r="P398" s="7">
        <f t="shared" ca="1" si="198"/>
        <v>0.57744816855186087</v>
      </c>
      <c r="Q398" s="7">
        <f t="shared" ca="1" si="198"/>
        <v>0.59393061198482311</v>
      </c>
      <c r="R398" s="7">
        <f t="shared" ca="1" si="198"/>
        <v>0.61070761784347571</v>
      </c>
      <c r="S398" s="7">
        <f t="shared" ca="1" si="198"/>
        <v>0.62777138220317852</v>
      </c>
      <c r="T398" s="7">
        <f t="shared" ca="1" si="198"/>
        <v>0.64514010135167132</v>
      </c>
      <c r="U398" s="7">
        <f t="shared" ca="1" si="198"/>
        <v>0.66277354098528818</v>
      </c>
    </row>
    <row r="399" spans="1:21" ht="15" x14ac:dyDescent="0.25">
      <c r="A399" s="2" t="s">
        <v>593</v>
      </c>
      <c r="B399" s="4" t="str">
        <f>$B$37</f>
        <v>From Fiscal</v>
      </c>
      <c r="D399" s="39">
        <f>'Fiscal Forecasts'!D$119</f>
        <v>0.995</v>
      </c>
      <c r="E399" s="39">
        <f>'Fiscal Forecasts'!E$119</f>
        <v>1.1100000000000001</v>
      </c>
      <c r="F399" s="39">
        <f>'Fiscal Forecasts'!F$119</f>
        <v>1.167</v>
      </c>
      <c r="G399" s="38">
        <f>'Fiscal Forecasts'!G$119</f>
        <v>1.0589999999999999</v>
      </c>
      <c r="H399" s="38">
        <f>'Fiscal Forecasts'!H$119</f>
        <v>1.036</v>
      </c>
      <c r="I399" s="38">
        <f>'Fiscal Forecasts'!I$119</f>
        <v>1.0089999999999999</v>
      </c>
      <c r="J399" s="38">
        <f>'Fiscal Forecasts'!J$119</f>
        <v>1.036</v>
      </c>
      <c r="K399" s="38">
        <f>'Fiscal Forecasts'!K$119</f>
        <v>1.0580000000000001</v>
      </c>
      <c r="L399" s="7">
        <f t="shared" ref="L399:U399" ca="1" si="199">L$398+(K$399-K$398)*(1+L$23)*(1+L$30)</f>
        <v>1.0893205319180166</v>
      </c>
      <c r="M399" s="7">
        <f t="shared" ca="1" si="199"/>
        <v>1.1213672846465914</v>
      </c>
      <c r="N399" s="7">
        <f t="shared" ca="1" si="199"/>
        <v>1.1541700916153985</v>
      </c>
      <c r="O399" s="7">
        <f t="shared" ca="1" si="199"/>
        <v>1.1876907856173351</v>
      </c>
      <c r="P399" s="7">
        <f t="shared" ca="1" si="199"/>
        <v>1.2218803246557377</v>
      </c>
      <c r="Q399" s="7">
        <f t="shared" ca="1" si="199"/>
        <v>1.2567571749598856</v>
      </c>
      <c r="R399" s="7">
        <f t="shared" ca="1" si="199"/>
        <v>1.2922573193567946</v>
      </c>
      <c r="S399" s="7">
        <f t="shared" ca="1" si="199"/>
        <v>1.3283642447419257</v>
      </c>
      <c r="T399" s="7">
        <f t="shared" ca="1" si="199"/>
        <v>1.3651164544601366</v>
      </c>
      <c r="U399" s="7">
        <f t="shared" ca="1" si="199"/>
        <v>1.4024288127248701</v>
      </c>
    </row>
    <row r="400" spans="1:21" ht="15" x14ac:dyDescent="0.25">
      <c r="A400" s="2"/>
      <c r="B400" s="4"/>
      <c r="D400" s="39"/>
      <c r="E400" s="39"/>
      <c r="F400" s="39"/>
      <c r="G400" s="39"/>
      <c r="H400" s="39"/>
      <c r="I400" s="39"/>
      <c r="J400" s="39"/>
      <c r="K400" s="39"/>
      <c r="L400" s="39"/>
      <c r="M400" s="39"/>
      <c r="N400" s="39"/>
      <c r="O400" s="39"/>
      <c r="P400" s="39"/>
      <c r="Q400" s="39"/>
      <c r="R400" s="39"/>
      <c r="S400" s="39"/>
      <c r="T400" s="39"/>
      <c r="U400" s="39"/>
    </row>
    <row r="401" spans="1:21" x14ac:dyDescent="0.2">
      <c r="A401" s="18" t="s">
        <v>218</v>
      </c>
    </row>
    <row r="402" spans="1:21" ht="15" x14ac:dyDescent="0.25">
      <c r="A402" s="2" t="s">
        <v>594</v>
      </c>
      <c r="B402" s="4" t="str">
        <f>$B$37</f>
        <v>From Fiscal</v>
      </c>
      <c r="D402" s="39">
        <f>'Fiscal Forecasts'!D$175-D$398</f>
        <v>1.0919999999999999</v>
      </c>
      <c r="E402" s="39">
        <f>'Fiscal Forecasts'!E$175-E$398</f>
        <v>1.254</v>
      </c>
      <c r="F402" s="39">
        <f>'Fiscal Forecasts'!F$175-F$398</f>
        <v>1.331</v>
      </c>
      <c r="G402" s="38">
        <f>'Fiscal Forecasts'!G$175-G$398</f>
        <v>1.254</v>
      </c>
      <c r="H402" s="38">
        <f>'Fiscal Forecasts'!H$175-H$398</f>
        <v>1.252</v>
      </c>
      <c r="I402" s="38">
        <f>'Fiscal Forecasts'!I$175-I$398</f>
        <v>1.272</v>
      </c>
      <c r="J402" s="38">
        <f>'Fiscal Forecasts'!J$175-J$398</f>
        <v>1.2690000000000001</v>
      </c>
      <c r="K402" s="38">
        <f>'Fiscal Forecasts'!K$175-K$398</f>
        <v>1.306</v>
      </c>
      <c r="L402" s="7">
        <f t="shared" ref="L402:U402" ca="1" si="200">K$402*(1+L$23)*(1+L$30)</f>
        <v>1.3446622066965306</v>
      </c>
      <c r="M402" s="7">
        <f t="shared" ca="1" si="200"/>
        <v>1.3842208636563782</v>
      </c>
      <c r="N402" s="7">
        <f t="shared" ca="1" si="200"/>
        <v>1.4247127974004823</v>
      </c>
      <c r="O402" s="7">
        <f t="shared" ca="1" si="200"/>
        <v>1.4660908941552355</v>
      </c>
      <c r="P402" s="7">
        <f t="shared" ca="1" si="200"/>
        <v>1.5082946162574602</v>
      </c>
      <c r="Q402" s="7">
        <f t="shared" ca="1" si="200"/>
        <v>1.5513467585043574</v>
      </c>
      <c r="R402" s="7">
        <f t="shared" ca="1" si="200"/>
        <v>1.5951682978071582</v>
      </c>
      <c r="S402" s="7">
        <f t="shared" ca="1" si="200"/>
        <v>1.6397388503147019</v>
      </c>
      <c r="T402" s="7">
        <f t="shared" ca="1" si="200"/>
        <v>1.685105944730565</v>
      </c>
      <c r="U402" s="7">
        <f t="shared" ca="1" si="200"/>
        <v>1.7311644890535725</v>
      </c>
    </row>
    <row r="403" spans="1:21" ht="15" x14ac:dyDescent="0.25">
      <c r="A403" s="2" t="s">
        <v>595</v>
      </c>
      <c r="B403" s="4" t="str">
        <f>$B$37</f>
        <v>From Fiscal</v>
      </c>
      <c r="D403" s="39">
        <f>'Fiscal Forecasts'!D$120</f>
        <v>2.3889999999999998</v>
      </c>
      <c r="E403" s="39">
        <f>'Fiscal Forecasts'!E$120</f>
        <v>2.9140000000000001</v>
      </c>
      <c r="F403" s="39">
        <f>'Fiscal Forecasts'!F$120</f>
        <v>3.0790000000000002</v>
      </c>
      <c r="G403" s="38">
        <f>'Fiscal Forecasts'!G$120</f>
        <v>2.6480000000000001</v>
      </c>
      <c r="H403" s="38">
        <f>'Fiscal Forecasts'!H$120</f>
        <v>2.637</v>
      </c>
      <c r="I403" s="38">
        <f>'Fiscal Forecasts'!I$120</f>
        <v>2.6539999999999999</v>
      </c>
      <c r="J403" s="38">
        <f>'Fiscal Forecasts'!J$120</f>
        <v>2.681</v>
      </c>
      <c r="K403" s="38">
        <f>'Fiscal Forecasts'!K$120</f>
        <v>2.766</v>
      </c>
      <c r="L403" s="7">
        <f t="shared" ref="L403:U403" ca="1" si="201">L$402+(K$403-K$402)*(1+L$23)*(1+L$30)</f>
        <v>2.8478833566023001</v>
      </c>
      <c r="M403" s="7">
        <f t="shared" ca="1" si="201"/>
        <v>2.9316653207301244</v>
      </c>
      <c r="N403" s="7">
        <f t="shared" ca="1" si="201"/>
        <v>3.0174238879094446</v>
      </c>
      <c r="O403" s="7">
        <f t="shared" ca="1" si="201"/>
        <v>3.1050592750638453</v>
      </c>
      <c r="P403" s="7">
        <f t="shared" ca="1" si="201"/>
        <v>3.1944432684288939</v>
      </c>
      <c r="Q403" s="7">
        <f t="shared" ca="1" si="201"/>
        <v>3.2856241455000408</v>
      </c>
      <c r="R403" s="7">
        <f t="shared" ca="1" si="201"/>
        <v>3.3784345419101074</v>
      </c>
      <c r="S403" s="7">
        <f t="shared" ca="1" si="201"/>
        <v>3.4728312863479833</v>
      </c>
      <c r="T403" s="7">
        <f t="shared" ca="1" si="201"/>
        <v>3.568915040677445</v>
      </c>
      <c r="U403" s="7">
        <f t="shared" ca="1" si="201"/>
        <v>3.6664632287306143</v>
      </c>
    </row>
    <row r="404" spans="1:21" ht="15" x14ac:dyDescent="0.25">
      <c r="A404" s="2"/>
      <c r="B404" s="4"/>
      <c r="D404" s="6"/>
      <c r="E404" s="6"/>
      <c r="F404" s="6"/>
      <c r="G404" s="6"/>
      <c r="H404" s="6"/>
      <c r="I404" s="6"/>
      <c r="J404" s="6"/>
      <c r="K404" s="6"/>
      <c r="L404" s="6"/>
      <c r="M404" s="6"/>
      <c r="N404" s="6"/>
      <c r="O404" s="6"/>
      <c r="P404" s="6"/>
      <c r="Q404" s="6"/>
      <c r="R404" s="6"/>
      <c r="S404" s="6"/>
      <c r="T404" s="6"/>
      <c r="U404" s="6"/>
    </row>
    <row r="405" spans="1:21" x14ac:dyDescent="0.2">
      <c r="A405" s="18" t="s">
        <v>596</v>
      </c>
      <c r="B405" s="4"/>
      <c r="D405" s="6"/>
      <c r="E405" s="6"/>
      <c r="F405" s="6"/>
      <c r="G405" s="6"/>
      <c r="H405" s="6"/>
      <c r="I405" s="6"/>
      <c r="J405" s="6"/>
      <c r="K405" s="6"/>
      <c r="L405" s="6"/>
      <c r="M405" s="6"/>
      <c r="N405" s="6"/>
      <c r="O405" s="6"/>
      <c r="P405" s="6"/>
      <c r="Q405" s="6"/>
      <c r="R405" s="6"/>
      <c r="S405" s="6"/>
      <c r="T405" s="6"/>
      <c r="U405" s="6"/>
    </row>
    <row r="406" spans="1:21" ht="15" x14ac:dyDescent="0.25">
      <c r="A406" s="1" t="s">
        <v>600</v>
      </c>
      <c r="B406" s="4"/>
      <c r="C406" s="60">
        <f ca="1">OFFSET(Assumptions!$B$75,0,$C$1)*C$373</f>
        <v>0.25809000000000004</v>
      </c>
      <c r="D406" s="14">
        <f ca="1">OFFSET(Assumptions!$B$75,0,$C$1)*D$373</f>
        <v>0.29522000000000004</v>
      </c>
      <c r="E406" s="14">
        <f ca="1">OFFSET(Assumptions!$B$75,0,$C$1)*E$373</f>
        <v>0.29527000000000003</v>
      </c>
      <c r="F406" s="14">
        <f ca="1">OFFSET(Assumptions!$B$75,0,$C$1)*F$373</f>
        <v>0.34506000000000003</v>
      </c>
      <c r="G406" s="15">
        <f ca="1">OFFSET(Assumptions!$B$75,0,$C$1)*G$373</f>
        <v>0.38865000000000005</v>
      </c>
      <c r="H406" s="15">
        <f ca="1">OFFSET(Assumptions!$B$75,0,$C$1)*H$373</f>
        <v>0.42458000000000007</v>
      </c>
      <c r="I406" s="15">
        <f ca="1">OFFSET(Assumptions!$B$75,0,$C$1)*I$373</f>
        <v>0.46800000000000003</v>
      </c>
      <c r="J406" s="15">
        <f ca="1">OFFSET(Assumptions!$B$75,0,$C$1)*J$373</f>
        <v>0.52146000000000003</v>
      </c>
      <c r="K406" s="15">
        <f ca="1">OFFSET(Assumptions!$B$75,0,$C$1)*K$373</f>
        <v>0.58167000000000002</v>
      </c>
      <c r="L406" s="6">
        <f ca="1">OFFSET(Assumptions!$B$75,0,$C$1)/SUM(OFFSET(Assumptions!$B$71,0,$C$1,6,1))*SUM(L$373,L$69,-L$341,L$448)</f>
        <v>0.6452205148388156</v>
      </c>
      <c r="M406" s="6">
        <f ca="1">OFFSET(Assumptions!$B$75,0,$C$1)/SUM(OFFSET(Assumptions!$B$71,0,$C$1,6,1))*SUM(M$373,M$69,-M$341,M$448)</f>
        <v>0.70642763950153509</v>
      </c>
      <c r="N406" s="6">
        <f ca="1">OFFSET(Assumptions!$B$75,0,$C$1)/SUM(OFFSET(Assumptions!$B$71,0,$C$1,6,1))*SUM(N$373,N$69,-N$341,N$448)</f>
        <v>0.77008605409765707</v>
      </c>
      <c r="O406" s="6">
        <f ca="1">OFFSET(Assumptions!$B$75,0,$C$1)/SUM(OFFSET(Assumptions!$B$71,0,$C$1,6,1))*SUM(O$373,O$69,-O$341,O$448)</f>
        <v>0.83613557706557018</v>
      </c>
      <c r="P406" s="6">
        <f ca="1">OFFSET(Assumptions!$B$75,0,$C$1)/SUM(OFFSET(Assumptions!$B$71,0,$C$1,6,1))*SUM(P$373,P$69,-P$341,P$448)</f>
        <v>0.90455769065506608</v>
      </c>
      <c r="Q406" s="6">
        <f ca="1">OFFSET(Assumptions!$B$75,0,$C$1)/SUM(OFFSET(Assumptions!$B$71,0,$C$1,6,1))*SUM(Q$373,Q$69,-Q$341,Q$448)</f>
        <v>0.97428980837672519</v>
      </c>
      <c r="R406" s="6">
        <f ca="1">OFFSET(Assumptions!$B$75,0,$C$1)/SUM(OFFSET(Assumptions!$B$71,0,$C$1,6,1))*SUM(R$373,R$69,-R$341,R$448)</f>
        <v>1.0453471525738174</v>
      </c>
      <c r="S406" s="6">
        <f ca="1">OFFSET(Assumptions!$B$75,0,$C$1)/SUM(OFFSET(Assumptions!$B$71,0,$C$1,6,1))*SUM(S$373,S$69,-S$341,S$448)</f>
        <v>1.1182109289122377</v>
      </c>
      <c r="T406" s="6">
        <f ca="1">OFFSET(Assumptions!$B$75,0,$C$1)/SUM(OFFSET(Assumptions!$B$71,0,$C$1,6,1))*SUM(T$373,T$69,-T$341,T$448)</f>
        <v>1.1930640347044543</v>
      </c>
      <c r="U406" s="6">
        <f ca="1">OFFSET(Assumptions!$B$75,0,$C$1)/SUM(OFFSET(Assumptions!$B$71,0,$C$1,6,1))*SUM(U$373,U$69,-U$341,U$448)</f>
        <v>1.2699482732305192</v>
      </c>
    </row>
    <row r="407" spans="1:21" x14ac:dyDescent="0.2">
      <c r="A407" s="1" t="s">
        <v>601</v>
      </c>
      <c r="B407" s="4" t="str">
        <f>$B$37</f>
        <v>From Fiscal</v>
      </c>
      <c r="D407" s="14">
        <f ca="1">'Fiscal Forecasts'!D$172-D$406</f>
        <v>31.993780000000001</v>
      </c>
      <c r="E407" s="14">
        <f ca="1">'Fiscal Forecasts'!E$172-E$406</f>
        <v>35.401730000000001</v>
      </c>
      <c r="F407" s="14">
        <f ca="1">'Fiscal Forecasts'!F$172-F$406</f>
        <v>38.87594</v>
      </c>
      <c r="G407" s="15">
        <f ca="1">'Fiscal Forecasts'!G$172-G$406</f>
        <v>40.297350000000002</v>
      </c>
      <c r="H407" s="15">
        <f ca="1">'Fiscal Forecasts'!H$172-H$406</f>
        <v>41.264420000000001</v>
      </c>
      <c r="I407" s="15">
        <f ca="1">'Fiscal Forecasts'!I$172-I$406</f>
        <v>42.315999999999995</v>
      </c>
      <c r="J407" s="15">
        <f ca="1">'Fiscal Forecasts'!J$172-J$406</f>
        <v>43.544540000000005</v>
      </c>
      <c r="K407" s="15">
        <f ca="1">'Fiscal Forecasts'!K$172-K$406</f>
        <v>43.535329999999995</v>
      </c>
      <c r="L407" s="6">
        <f t="shared" ref="L407:U407" ca="1" si="202">SUM(K$407,-(L$406-K$406),L$412,-L$413,-L$414)</f>
        <v>43.535329999999988</v>
      </c>
      <c r="M407" s="6">
        <f t="shared" ca="1" si="202"/>
        <v>43.535329999999981</v>
      </c>
      <c r="N407" s="6">
        <f t="shared" ca="1" si="202"/>
        <v>43.535329999999981</v>
      </c>
      <c r="O407" s="6">
        <f t="shared" ca="1" si="202"/>
        <v>43.535329999999973</v>
      </c>
      <c r="P407" s="6">
        <f t="shared" ca="1" si="202"/>
        <v>43.535329999999973</v>
      </c>
      <c r="Q407" s="6">
        <f t="shared" ca="1" si="202"/>
        <v>43.535329999999973</v>
      </c>
      <c r="R407" s="6">
        <f t="shared" ca="1" si="202"/>
        <v>43.535329999999973</v>
      </c>
      <c r="S407" s="6">
        <f t="shared" ca="1" si="202"/>
        <v>43.535329999999973</v>
      </c>
      <c r="T407" s="6">
        <f t="shared" ca="1" si="202"/>
        <v>43.535329999999973</v>
      </c>
      <c r="U407" s="6">
        <f t="shared" ca="1" si="202"/>
        <v>43.535329999999973</v>
      </c>
    </row>
    <row r="408" spans="1:21" ht="15" x14ac:dyDescent="0.25">
      <c r="A408" s="2" t="s">
        <v>599</v>
      </c>
      <c r="B408" s="4"/>
      <c r="C408" s="60">
        <f>'Fiscal Forecasts'!C$172</f>
        <v>30.963000000000001</v>
      </c>
      <c r="D408" s="34">
        <f t="shared" ref="D408:U408" ca="1" si="203">SUM(D$406:D$407)</f>
        <v>32.289000000000001</v>
      </c>
      <c r="E408" s="34">
        <f t="shared" ca="1" si="203"/>
        <v>35.697000000000003</v>
      </c>
      <c r="F408" s="34">
        <f t="shared" ca="1" si="203"/>
        <v>39.220999999999997</v>
      </c>
      <c r="G408" s="33">
        <f t="shared" ca="1" si="203"/>
        <v>40.686</v>
      </c>
      <c r="H408" s="33">
        <f t="shared" ca="1" si="203"/>
        <v>41.689</v>
      </c>
      <c r="I408" s="33">
        <f t="shared" ca="1" si="203"/>
        <v>42.783999999999999</v>
      </c>
      <c r="J408" s="33">
        <f t="shared" ca="1" si="203"/>
        <v>44.066000000000003</v>
      </c>
      <c r="K408" s="33">
        <f t="shared" ca="1" si="203"/>
        <v>44.116999999999997</v>
      </c>
      <c r="L408" s="37">
        <f t="shared" ca="1" si="203"/>
        <v>44.180550514838806</v>
      </c>
      <c r="M408" s="37">
        <f t="shared" ca="1" si="203"/>
        <v>44.241757639501515</v>
      </c>
      <c r="N408" s="37">
        <f t="shared" ca="1" si="203"/>
        <v>44.305416054097634</v>
      </c>
      <c r="O408" s="37">
        <f t="shared" ca="1" si="203"/>
        <v>44.371465577065543</v>
      </c>
      <c r="P408" s="37">
        <f t="shared" ca="1" si="203"/>
        <v>44.439887690655041</v>
      </c>
      <c r="Q408" s="37">
        <f t="shared" ca="1" si="203"/>
        <v>44.509619808376698</v>
      </c>
      <c r="R408" s="37">
        <f t="shared" ca="1" si="203"/>
        <v>44.580677152573791</v>
      </c>
      <c r="S408" s="37">
        <f t="shared" ca="1" si="203"/>
        <v>44.653540928912214</v>
      </c>
      <c r="T408" s="37">
        <f t="shared" ca="1" si="203"/>
        <v>44.728394034704429</v>
      </c>
      <c r="U408" s="37">
        <f t="shared" ca="1" si="203"/>
        <v>44.805278273230492</v>
      </c>
    </row>
    <row r="409" spans="1:21" x14ac:dyDescent="0.2">
      <c r="A409" s="1" t="s">
        <v>272</v>
      </c>
      <c r="B409" s="4" t="str">
        <f>$B$37</f>
        <v>From Fiscal</v>
      </c>
      <c r="D409" s="14">
        <f>'Fiscal Forecasts'!D$318</f>
        <v>61.417000000000002</v>
      </c>
      <c r="E409" s="14">
        <f>'Fiscal Forecasts'!E$318</f>
        <v>66.769000000000005</v>
      </c>
      <c r="F409" s="14">
        <f>'Fiscal Forecasts'!F$318</f>
        <v>72.599000000000004</v>
      </c>
      <c r="G409" s="15">
        <f>'Fiscal Forecasts'!G$318</f>
        <v>76.078000000000003</v>
      </c>
      <c r="H409" s="15">
        <f>'Fiscal Forecasts'!H$318</f>
        <v>80.823999999999998</v>
      </c>
      <c r="I409" s="15">
        <f>'Fiscal Forecasts'!I$318</f>
        <v>83.265000000000001</v>
      </c>
      <c r="J409" s="15">
        <f>'Fiscal Forecasts'!J$318</f>
        <v>85.245999999999995</v>
      </c>
      <c r="K409" s="15">
        <f>'Fiscal Forecasts'!K$318</f>
        <v>86.668999999999997</v>
      </c>
      <c r="L409" s="6">
        <f ca="1">IF(L$6=OFFSET(Assumptions!$B$8,0,$C$1),AVERAGE(I$409/SUM(I$409,I$410),J$409/SUM(J$409,J$410),K$409/SUM(K$409,K$410)),K$409/SUM(K$409,K$410))*SUM(K$409,K$410,L$415-L$412,-(L$416-L$413),-(L$417-L$414))</f>
        <v>87.118012144262764</v>
      </c>
      <c r="M409" s="6">
        <f ca="1">IF(M$6=OFFSET(Assumptions!$B$8,0,$C$1),AVERAGE(J$409/SUM(J$409,J$410),K$409/SUM(K$409,K$410),L$409/SUM(L$409,L$410)),L$409/SUM(L$409,L$410))*SUM(L$409,L$410,M$415-M$412,-(M$416-M$413),-(M$417-M$414))</f>
        <v>88.190175310799674</v>
      </c>
      <c r="N409" s="6">
        <f ca="1">IF(N$6=OFFSET(Assumptions!$B$8,0,$C$1),AVERAGE(K$409/SUM(K$409,K$410),L$409/SUM(L$409,L$410),M$409/SUM(M$409,M$410)),M$409/SUM(M$409,M$410))*SUM(M$409,M$410,N$415-N$412,-(N$416-N$413),-(N$417-N$414))</f>
        <v>89.310112255365169</v>
      </c>
      <c r="O409" s="6">
        <f ca="1">IF(O$6=OFFSET(Assumptions!$B$8,0,$C$1),AVERAGE(L$409/SUM(L$409,L$410),M$409/SUM(M$409,M$410),N$409/SUM(N$409,N$410)),N$409/SUM(N$409,N$410))*SUM(N$409,N$410,O$415-O$412,-(O$416-O$413),-(O$417-O$414))</f>
        <v>90.479046269940667</v>
      </c>
      <c r="P409" s="6">
        <f ca="1">IF(P$6=OFFSET(Assumptions!$B$8,0,$C$1),AVERAGE(M$409/SUM(M$409,M$410),N$409/SUM(N$409,N$410),O$409/SUM(O$409,O$410)),O$409/SUM(O$409,O$410))*SUM(O$409,O$410,P$415-P$412,-(P$416-P$413),-(P$417-P$414))</f>
        <v>91.698641197713201</v>
      </c>
      <c r="Q409" s="6">
        <f ca="1">IF(Q$6=OFFSET(Assumptions!$B$8,0,$C$1),AVERAGE(N$409/SUM(N$409,N$410),O$409/SUM(O$409,O$410),P$409/SUM(P$409,P$410)),P$409/SUM(P$409,P$410))*SUM(P$409,P$410,Q$415-Q$412,-(Q$416-Q$413),-(Q$417-Q$414))</f>
        <v>92.970641586262815</v>
      </c>
      <c r="R409" s="6">
        <f ca="1">IF(R$6=OFFSET(Assumptions!$B$8,0,$C$1),AVERAGE(O$409/SUM(O$409,O$410),P$409/SUM(P$409,P$410),Q$409/SUM(Q$409,Q$410)),Q$409/SUM(Q$409,Q$410))*SUM(Q$409,Q$410,R$415-R$412,-(R$416-R$413),-(R$417-R$414))</f>
        <v>94.2967018108221</v>
      </c>
      <c r="S409" s="6">
        <f ca="1">IF(S$6=OFFSET(Assumptions!$B$8,0,$C$1),AVERAGE(P$409/SUM(P$409,P$410),Q$409/SUM(Q$409,Q$410),R$409/SUM(R$409,R$410)),R$409/SUM(R$409,R$410))*SUM(R$409,R$410,S$415-S$412,-(S$416-S$413),-(S$417-S$414))</f>
        <v>95.678637252165046</v>
      </c>
      <c r="T409" s="6">
        <f ca="1">IF(T$6=OFFSET(Assumptions!$B$8,0,$C$1),AVERAGE(Q$409/SUM(Q$409,Q$410),R$409/SUM(R$409,R$410),S$409/SUM(S$409,S$410)),S$409/SUM(S$409,S$410))*SUM(S$409,S$410,T$415-T$412,-(T$416-T$413),-(T$417-T$414))</f>
        <v>97.118314136343471</v>
      </c>
      <c r="U409" s="6">
        <f ca="1">IF(U$6=OFFSET(Assumptions!$B$8,0,$C$1),AVERAGE(R$409/SUM(R$409,R$410),S$409/SUM(S$409,S$410),T$409/SUM(T$409,T$410)),T$409/SUM(T$409,T$410))*SUM(T$409,T$410,U$415-U$412,-(U$416-U$413),-(U$417-U$414))</f>
        <v>98.617773238403601</v>
      </c>
    </row>
    <row r="410" spans="1:21" x14ac:dyDescent="0.2">
      <c r="A410" s="1" t="s">
        <v>483</v>
      </c>
      <c r="B410" s="4" t="str">
        <f>$B$37</f>
        <v>From Fiscal</v>
      </c>
      <c r="D410" s="14">
        <f>SUM('Fiscal Forecasts'!D$319:D$320)</f>
        <v>30.852</v>
      </c>
      <c r="E410" s="14">
        <f>SUM('Fiscal Forecasts'!E$319:E$320)</f>
        <v>32.033000000000001</v>
      </c>
      <c r="F410" s="14">
        <f>SUM('Fiscal Forecasts'!F$319:F$320)</f>
        <v>32.729999999999997</v>
      </c>
      <c r="G410" s="15">
        <f>SUM('Fiscal Forecasts'!G$319:G$320)</f>
        <v>33.058999999999997</v>
      </c>
      <c r="H410" s="15">
        <f>SUM('Fiscal Forecasts'!H$319:H$320)</f>
        <v>33.353999999999999</v>
      </c>
      <c r="I410" s="15">
        <f>SUM('Fiscal Forecasts'!I$319:I$320)</f>
        <v>33.375999999999998</v>
      </c>
      <c r="J410" s="15">
        <f>SUM('Fiscal Forecasts'!J$319:J$320)</f>
        <v>33.131</v>
      </c>
      <c r="K410" s="15">
        <f>SUM('Fiscal Forecasts'!K$319:K$320)</f>
        <v>33.159999999999997</v>
      </c>
      <c r="L410" s="6">
        <f ca="1">IF(L$6=OFFSET(Assumptions!$B$8,0,$C$1),AVERAGE(I$410/SUM(I$409,I$410),J$410/SUM(J$409,J$410),K$410/SUM(K$409,K$410)),K$410/SUM(K$409,K$410))*SUM(K$409,K$410,L$415-L$412,-(L$416-L$413),-(L$417-L$414))</f>
        <v>34.033337342248679</v>
      </c>
      <c r="M410" s="6">
        <f ca="1">IF(M$6=OFFSET(Assumptions!$B$8,0,$C$1),AVERAGE(J$410/SUM(J$409,J$410),K$410/SUM(K$409,K$410),L$410/SUM(L$409,L$410)),L$410/SUM(L$409,L$410))*SUM(L$409,L$410,M$415-M$412,-(M$416-M$413),-(M$417-M$414))</f>
        <v>34.452186324618246</v>
      </c>
      <c r="N410" s="6">
        <f ca="1">IF(N$6=OFFSET(Assumptions!$B$8,0,$C$1),AVERAGE(K$410/SUM(K$409,K$410),L$410/SUM(L$409,L$410),M$410/SUM(M$409,M$410)),M$410/SUM(M$409,M$410))*SUM(M$409,M$410,N$415-N$412,-(N$416-N$413),-(N$417-N$414))</f>
        <v>34.889698509507504</v>
      </c>
      <c r="O410" s="6">
        <f ca="1">IF(O$6=OFFSET(Assumptions!$B$8,0,$C$1),AVERAGE(L$410/SUM(L$409,L$410),M$410/SUM(M$409,M$410),N$410/SUM(N$409,N$410)),N$410/SUM(N$409,N$410))*SUM(N$409,N$410,O$415-O$412,-(O$416-O$413),-(O$417-O$414))</f>
        <v>35.346351785560209</v>
      </c>
      <c r="P410" s="6">
        <f ca="1">IF(P$6=OFFSET(Assumptions!$B$8,0,$C$1),AVERAGE(M$410/SUM(M$409,M$410),N$410/SUM(N$409,N$410),O$410/SUM(O$409,O$410)),O$410/SUM(O$409,O$410))*SUM(O$409,O$410,P$415-P$412,-(P$416-P$413),-(P$417-P$414))</f>
        <v>35.822796146217165</v>
      </c>
      <c r="Q410" s="6">
        <f ca="1">IF(Q$6=OFFSET(Assumptions!$B$8,0,$C$1),AVERAGE(N$410/SUM(N$409,N$410),O$410/SUM(O$409,O$410),P$410/SUM(P$409,P$410)),P$410/SUM(P$409,P$410))*SUM(P$409,P$410,Q$415-Q$412,-(Q$416-Q$413),-(Q$417-Q$414))</f>
        <v>36.319713112725694</v>
      </c>
      <c r="R410" s="6">
        <f ca="1">IF(R$6=OFFSET(Assumptions!$B$8,0,$C$1),AVERAGE(O$410/SUM(O$409,O$410),P$410/SUM(P$409,P$410),Q$410/SUM(Q$409,Q$410)),Q$410/SUM(Q$409,Q$410))*SUM(Q$409,Q$410,R$415-R$412,-(R$416-R$413),-(R$417-R$414))</f>
        <v>36.837748979795649</v>
      </c>
      <c r="S410" s="6">
        <f ca="1">IF(S$6=OFFSET(Assumptions!$B$8,0,$C$1),AVERAGE(P$410/SUM(P$409,P$410),Q$410/SUM(Q$409,Q$410),R$410/SUM(R$409,R$410)),R$410/SUM(R$409,R$410))*SUM(R$409,R$410,S$415-S$412,-(S$416-S$413),-(S$417-S$414))</f>
        <v>37.377612940219258</v>
      </c>
      <c r="T410" s="6">
        <f ca="1">IF(T$6=OFFSET(Assumptions!$B$8,0,$C$1),AVERAGE(Q$410/SUM(Q$409,Q$410),R$410/SUM(R$409,R$410),S$410/SUM(S$409,S$410)),S$410/SUM(S$409,S$410))*SUM(S$409,S$410,T$415-T$412,-(T$416-T$413),-(T$417-T$414))</f>
        <v>37.940034049896845</v>
      </c>
      <c r="U410" s="6">
        <f ca="1">IF(U$6=OFFSET(Assumptions!$B$8,0,$C$1),AVERAGE(R$410/SUM(R$409,R$410),S$410/SUM(S$409,S$410),T$410/SUM(T$409,T$410)),T$410/SUM(T$409,T$410))*SUM(T$409,T$410,U$415-U$412,-(U$416-U$413),-(U$417-U$414))</f>
        <v>38.525809553667663</v>
      </c>
    </row>
    <row r="411" spans="1:21" ht="15" x14ac:dyDescent="0.25">
      <c r="A411" s="2" t="s">
        <v>597</v>
      </c>
      <c r="B411" s="4"/>
      <c r="D411" s="34">
        <f t="shared" ref="D411:U411" ca="1" si="204">SUM(D$408:D$410)</f>
        <v>124.55800000000001</v>
      </c>
      <c r="E411" s="34">
        <f t="shared" ca="1" si="204"/>
        <v>134.49900000000002</v>
      </c>
      <c r="F411" s="34">
        <f t="shared" ca="1" si="204"/>
        <v>144.54999999999998</v>
      </c>
      <c r="G411" s="33">
        <f t="shared" ca="1" si="204"/>
        <v>149.82300000000001</v>
      </c>
      <c r="H411" s="33">
        <f t="shared" ca="1" si="204"/>
        <v>155.86700000000002</v>
      </c>
      <c r="I411" s="33">
        <f t="shared" ca="1" si="204"/>
        <v>159.42500000000001</v>
      </c>
      <c r="J411" s="33">
        <f t="shared" ca="1" si="204"/>
        <v>162.44300000000001</v>
      </c>
      <c r="K411" s="33">
        <f t="shared" ca="1" si="204"/>
        <v>163.946</v>
      </c>
      <c r="L411" s="37">
        <f t="shared" ca="1" si="204"/>
        <v>165.33190000135025</v>
      </c>
      <c r="M411" s="37">
        <f t="shared" ca="1" si="204"/>
        <v>166.88411927491944</v>
      </c>
      <c r="N411" s="37">
        <f t="shared" ca="1" si="204"/>
        <v>168.5052268189703</v>
      </c>
      <c r="O411" s="37">
        <f t="shared" ca="1" si="204"/>
        <v>170.19686363256642</v>
      </c>
      <c r="P411" s="37">
        <f t="shared" ca="1" si="204"/>
        <v>171.9613250345854</v>
      </c>
      <c r="Q411" s="37">
        <f t="shared" ca="1" si="204"/>
        <v>173.79997450736522</v>
      </c>
      <c r="R411" s="37">
        <f t="shared" ca="1" si="204"/>
        <v>175.71512794319153</v>
      </c>
      <c r="S411" s="37">
        <f t="shared" ca="1" si="204"/>
        <v>177.70979112129652</v>
      </c>
      <c r="T411" s="37">
        <f t="shared" ca="1" si="204"/>
        <v>179.78674222094475</v>
      </c>
      <c r="U411" s="37">
        <f t="shared" ca="1" si="204"/>
        <v>181.94886106530177</v>
      </c>
    </row>
    <row r="412" spans="1:21" x14ac:dyDescent="0.2">
      <c r="A412" s="1" t="s">
        <v>1229</v>
      </c>
      <c r="B412" s="4"/>
      <c r="D412" s="14">
        <f t="shared" ref="D412:K412" ca="1" si="205">SUM(D$408-C$408,D$413,D$414)</f>
        <v>1.8321429676689998</v>
      </c>
      <c r="E412" s="14">
        <f t="shared" ca="1" si="205"/>
        <v>3.994378276818388</v>
      </c>
      <c r="F412" s="14">
        <f t="shared" ca="1" si="205"/>
        <v>3.994628761677645</v>
      </c>
      <c r="G412" s="15">
        <f t="shared" ca="1" si="205"/>
        <v>2.6342664738729784</v>
      </c>
      <c r="H412" s="15">
        <f t="shared" ca="1" si="205"/>
        <v>2.4862860283569956</v>
      </c>
      <c r="I412" s="15">
        <f t="shared" ca="1" si="205"/>
        <v>2.6216725529545712</v>
      </c>
      <c r="J412" s="15">
        <f t="shared" ca="1" si="205"/>
        <v>2.8292331476096422</v>
      </c>
      <c r="K412" s="15">
        <f t="shared" ca="1" si="205"/>
        <v>1.6326198820146305</v>
      </c>
      <c r="L412" s="6">
        <f ca="1">SUM(L$406-K$406,L$414)/(1-IF(L$6=OFFSET(Assumptions!$B$8,0,$C$1),AVERAGE(I$413/I$412,J$413/J$412,K$413/K$412),K$413/K$412))</f>
        <v>1.8319789883056012</v>
      </c>
      <c r="M412" s="6">
        <f ca="1">SUM(M$406-L$406,M$414)/(1-IF(M$6=OFFSET(Assumptions!$B$8,0,$C$1),AVERAGE(J$413/J$412,K$413/K$412,L$413/L$412),L$413/L$412))</f>
        <v>1.9683863854985273</v>
      </c>
      <c r="N412" s="6">
        <f ca="1">SUM(N$406-M$406,N$414)/(1-IF(N$6=OFFSET(Assumptions!$B$8,0,$C$1),AVERAGE(K$413/K$412,L$413/L$412,M$413/M$412),M$413/M$412))</f>
        <v>2.1690293557543683</v>
      </c>
      <c r="O412" s="6">
        <f ca="1">SUM(O$406-N$406,O$414)/(1-IF(O$6=OFFSET(Assumptions!$B$8,0,$C$1),AVERAGE(L$413/L$412,M$413/M$412,N$413/N$412),N$413/N$412))</f>
        <v>2.4270174105974665</v>
      </c>
      <c r="P412" s="6">
        <f ca="1">SUM(P$406-O$406,P$414)/(1-IF(P$6=OFFSET(Assumptions!$B$8,0,$C$1),AVERAGE(M$413/M$412,N$413/N$412,O$413/O$412),O$413/O$412))</f>
        <v>2.7391863233690112</v>
      </c>
      <c r="Q412" s="6">
        <f ca="1">SUM(Q$406-P$406,Q$414)/(1-IF(Q$6=OFFSET(Assumptions!$B$8,0,$C$1),AVERAGE(N$413/N$412,O$413/O$412,P$413/P$412),P$413/P$412))</f>
        <v>3.1046908864754128</v>
      </c>
      <c r="R412" s="6">
        <f ca="1">SUM(R$406-Q$406,R$414)/(1-IF(R$6=OFFSET(Assumptions!$B$8,0,$C$1),AVERAGE(O$413/O$412,P$413/P$412,Q$413/Q$412),Q$413/Q$412))</f>
        <v>3.4866001071659811</v>
      </c>
      <c r="S412" s="6">
        <f ca="1">SUM(S$406-R$406,S$414)/(1-IF(S$6=OFFSET(Assumptions!$B$8,0,$C$1),AVERAGE(P$413/P$412,Q$413/Q$412,R$413/R$412),R$413/R$412))</f>
        <v>3.8861102566930028</v>
      </c>
      <c r="T412" s="6">
        <f ca="1">SUM(T$406-S$406,T$414)/(1-IF(T$6=OFFSET(Assumptions!$B$8,0,$C$1),AVERAGE(Q$413/Q$412,R$413/R$412,S$413/S$412),S$413/S$412))</f>
        <v>4.3036983905357786</v>
      </c>
      <c r="U412" s="6">
        <f ca="1">SUM(U$406-T$406,U$414)/(1-IF(U$6=OFFSET(Assumptions!$B$8,0,$C$1),AVERAGE(R$413/R$412,S$413/S$412,T$413/T$412),T$413/T$412))</f>
        <v>4.7400310159783583</v>
      </c>
    </row>
    <row r="413" spans="1:21" x14ac:dyDescent="0.2">
      <c r="A413" s="1" t="s">
        <v>693</v>
      </c>
      <c r="B413" s="4"/>
      <c r="D413" s="14">
        <f t="shared" ref="D413:K413" ca="1" si="206">D$407/(D$411-D$406)*D$416</f>
        <v>-0.74485703233100053</v>
      </c>
      <c r="E413" s="14">
        <f t="shared" ca="1" si="206"/>
        <v>-0.71962172318161344</v>
      </c>
      <c r="F413" s="14">
        <f t="shared" ca="1" si="206"/>
        <v>-0.88937123832234866</v>
      </c>
      <c r="G413" s="15">
        <f t="shared" ca="1" si="206"/>
        <v>-0.28773352612702502</v>
      </c>
      <c r="H413" s="15">
        <f t="shared" ca="1" si="206"/>
        <v>-3.3713971643004527E-2</v>
      </c>
      <c r="I413" s="15">
        <f t="shared" ca="1" si="206"/>
        <v>-4.2327447045427367E-2</v>
      </c>
      <c r="J413" s="15">
        <f t="shared" ca="1" si="206"/>
        <v>-3.5766852390361405E-2</v>
      </c>
      <c r="K413" s="15">
        <f t="shared" ca="1" si="206"/>
        <v>-3.0380117985364372E-2</v>
      </c>
      <c r="L413" s="6">
        <f ca="1">IF(L$6=OFFSET(Assumptions!$B$8,0,$C$1),AVERAGE(I$413/I$412,J$413/J$412,K$413/K$412),K$413/K$412)*L$412</f>
        <v>-2.8942396176037975E-2</v>
      </c>
      <c r="M413" s="6">
        <f ca="1">IF(M$6=OFFSET(Assumptions!$B$8,0,$C$1),AVERAGE(J$413/J$412,K$413/K$412,L$413/L$412),L$413/L$412)*M$412</f>
        <v>-3.109741921729638E-2</v>
      </c>
      <c r="N413" s="6">
        <f ca="1">IF(N$6=OFFSET(Assumptions!$B$8,0,$C$1),AVERAGE(K$413/K$412,L$413/L$412,M$413/M$412),M$413/M$412)*N$412</f>
        <v>-3.4267263616250175E-2</v>
      </c>
      <c r="O413" s="6">
        <f ca="1">IF(O$6=OFFSET(Assumptions!$B$8,0,$C$1),AVERAGE(L$413/L$412,M$413/M$412,N$413/N$412),N$413/N$412)*O$412</f>
        <v>-3.8343070456622511E-2</v>
      </c>
      <c r="P413" s="6">
        <f ca="1">IF(P$6=OFFSET(Assumptions!$B$8,0,$C$1),AVERAGE(M$413/M$412,N$413/N$412,O$413/O$412),O$413/O$412)*P$412</f>
        <v>-4.3274849917495854E-2</v>
      </c>
      <c r="Q413" s="6">
        <f ca="1">IF(Q$6=OFFSET(Assumptions!$B$8,0,$C$1),AVERAGE(N$413/N$412,O$413/O$412,P$413/P$412),P$413/P$412)*Q$412</f>
        <v>-4.9049249043852258E-2</v>
      </c>
      <c r="R413" s="6">
        <f ca="1">IF(R$6=OFFSET(Assumptions!$B$8,0,$C$1),AVERAGE(O$413/O$412,P$413/P$412,Q$413/Q$412),Q$413/Q$412)*R$412</f>
        <v>-5.5082816043838218E-2</v>
      </c>
      <c r="S413" s="6">
        <f ca="1">IF(S$6=OFFSET(Assumptions!$B$8,0,$C$1),AVERAGE(P$413/P$412,Q$413/Q$412,R$413/R$412),R$413/R$412)*S$412</f>
        <v>-6.1394450127946171E-2</v>
      </c>
      <c r="T413" s="6">
        <f ca="1">IF(T$6=OFFSET(Assumptions!$B$8,0,$C$1),AVERAGE(Q$413/Q$412,R$413/R$412,S$413/S$412),S$413/S$412)*T$412</f>
        <v>-6.7991688024909361E-2</v>
      </c>
      <c r="U413" s="6">
        <f ca="1">IF(U$6=OFFSET(Assumptions!$B$8,0,$C$1),AVERAGE(R$413/R$412,S$413/S$412,T$413/T$412),T$413/T$412)*U$412</f>
        <v>-7.4885059504988416E-2</v>
      </c>
    </row>
    <row r="414" spans="1:21" x14ac:dyDescent="0.2">
      <c r="A414" s="1" t="s">
        <v>1227</v>
      </c>
      <c r="B414" s="4" t="str">
        <f>$B$37</f>
        <v>From Fiscal</v>
      </c>
      <c r="D414" s="14">
        <f>'Fiscal Forecasts'!D$243</f>
        <v>1.2509999999999999</v>
      </c>
      <c r="E414" s="14">
        <f>'Fiscal Forecasts'!E$243</f>
        <v>1.306</v>
      </c>
      <c r="F414" s="14">
        <f>'Fiscal Forecasts'!F$243</f>
        <v>1.36</v>
      </c>
      <c r="G414" s="15">
        <f>'Fiscal Forecasts'!G$243</f>
        <v>1.4570000000000001</v>
      </c>
      <c r="H414" s="15">
        <f>'Fiscal Forecasts'!H$243</f>
        <v>1.5169999999999999</v>
      </c>
      <c r="I414" s="15">
        <f>'Fiscal Forecasts'!I$243</f>
        <v>1.569</v>
      </c>
      <c r="J414" s="15">
        <f>'Fiscal Forecasts'!J$243</f>
        <v>1.583</v>
      </c>
      <c r="K414" s="15">
        <f>'Fiscal Forecasts'!K$243</f>
        <v>1.6120000000000001</v>
      </c>
      <c r="L414" s="6">
        <f ca="1">IF(L$6=OFFSET(Assumptions!$B$8,0,$C$1),AVERAGE(I$414/SUM(H$407,H$441:H$442),J$414/SUM(I$407,I$441:I$442),K$414/SUM(J$407,J$441:J$442)),K$414/SUM(J$407,J$441:J$442))*SUM(K$407,K$441:K$442)</f>
        <v>1.7973708696428234</v>
      </c>
      <c r="M414" s="6">
        <f ca="1">IF(M$6=OFFSET(Assumptions!$B$8,0,$C$1),AVERAGE(J$414/SUM(I$407,I$441:I$442),K$414/SUM(J$407,J$441:J$442),L$414/SUM(K$407,K$441:K$442)),L$414/SUM(K$407,K$441:K$442))*SUM(L$407,L$441:L$442)</f>
        <v>1.9382766800531039</v>
      </c>
      <c r="N414" s="6">
        <f ca="1">IF(N$6=OFFSET(Assumptions!$B$8,0,$C$1),AVERAGE(K$414/SUM(J$407,J$441:J$442),L$414/SUM(K$407,K$441:K$442),M$414/SUM(L$407,L$441:L$442)),M$414/SUM(L$407,L$441:L$442))*SUM(M$407,M$441:M$442)</f>
        <v>2.1396382047744962</v>
      </c>
      <c r="O414" s="6">
        <f ca="1">IF(O$6=OFFSET(Assumptions!$B$8,0,$C$1),AVERAGE(L$414/SUM(K$407,K$441:K$442),M$414/SUM(L$407,L$441:L$442),N$414/SUM(M$407,M$441:M$442)),N$414/SUM(M$407,M$441:M$442))*SUM(N$407,N$441:N$442)</f>
        <v>2.3993109580861756</v>
      </c>
      <c r="P414" s="6">
        <f ca="1">IF(P$6=OFFSET(Assumptions!$B$8,0,$C$1),AVERAGE(M$414/SUM(L$407,L$441:L$442),N$414/SUM(M$407,M$441:M$442),O$414/SUM(N$407,N$441:N$442)),O$414/SUM(N$407,N$441:N$442))*SUM(O$407,O$441:O$442)</f>
        <v>2.714039059697011</v>
      </c>
      <c r="Q414" s="6">
        <f ca="1">IF(Q$6=OFFSET(Assumptions!$B$8,0,$C$1),AVERAGE(N$414/SUM(M$407,M$441:M$442),O$414/SUM(N$407,N$441:N$442),P$414/SUM(O$407,O$441:O$442)),P$414/SUM(O$407,O$441:O$442))*SUM(P$407,P$441:P$442)</f>
        <v>3.0840080177976055</v>
      </c>
      <c r="R414" s="6">
        <f ca="1">IF(R$6=OFFSET(Assumptions!$B$8,0,$C$1),AVERAGE(O$414/SUM(N$407,N$441:N$442),P$414/SUM(O$407,O$441:O$442),Q$414/SUM(P$407,P$441:P$442)),Q$414/SUM(P$407,P$441:P$442))*SUM(Q$407,Q$441:Q$442)</f>
        <v>3.4706255790127267</v>
      </c>
      <c r="S414" s="6">
        <f ca="1">IF(S$6=OFFSET(Assumptions!$B$8,0,$C$1),AVERAGE(P$414/SUM(O$407,O$441:O$442),Q$414/SUM(P$407,P$441:P$442),R$414/SUM(Q$407,Q$441:Q$442)),R$414/SUM(Q$407,Q$441:Q$442))*SUM(R$407,R$441:R$442)</f>
        <v>3.8746409304825287</v>
      </c>
      <c r="T414" s="6">
        <f ca="1">IF(T$6=OFFSET(Assumptions!$B$8,0,$C$1),AVERAGE(Q$414/SUM(P$407,P$441:P$442),R$414/SUM(Q$407,Q$441:Q$442),S$414/SUM(R$407,R$441:R$442)),S$414/SUM(R$407,R$441:R$442))*SUM(S$407,S$441:S$442)</f>
        <v>4.296836972768471</v>
      </c>
      <c r="U414" s="6">
        <f ca="1">IF(U$6=OFFSET(Assumptions!$B$8,0,$C$1),AVERAGE(R$414/SUM(Q$407,Q$441:Q$442),S$414/SUM(R$407,R$441:R$442),T$414/SUM(S$407,S$441:S$442)),T$414/SUM(S$407,S$441:S$442))*SUM(T$407,T$441:T$442)</f>
        <v>4.7380318369572816</v>
      </c>
    </row>
    <row r="415" spans="1:21" x14ac:dyDescent="0.2">
      <c r="A415" s="1" t="s">
        <v>598</v>
      </c>
      <c r="B415" s="4" t="str">
        <f>$B$37</f>
        <v>From Fiscal</v>
      </c>
      <c r="D415" s="14">
        <f>SUM('Fiscal Forecasts'!D$323:D$326)</f>
        <v>9.2320000000000011</v>
      </c>
      <c r="E415" s="14">
        <f>SUM('Fiscal Forecasts'!E$323:E$326)</f>
        <v>11.125</v>
      </c>
      <c r="F415" s="14">
        <f>SUM('Fiscal Forecasts'!F$323:F$326)</f>
        <v>10.824999999999999</v>
      </c>
      <c r="G415" s="15">
        <f>SUM('Fiscal Forecasts'!G$323:G$326)</f>
        <v>8.9830000000000023</v>
      </c>
      <c r="H415" s="15">
        <f>SUM('Fiscal Forecasts'!H$323:H$326)</f>
        <v>10.757000000000001</v>
      </c>
      <c r="I415" s="15">
        <f>SUM('Fiscal Forecasts'!I$323:I$326)</f>
        <v>8.2490000000000006</v>
      </c>
      <c r="J415" s="15">
        <f>SUM('Fiscal Forecasts'!J$323:J$326)</f>
        <v>7.8059999999999992</v>
      </c>
      <c r="K415" s="15">
        <f>SUM('Fiscal Forecasts'!K$323:K$326)</f>
        <v>6.3719999999999999</v>
      </c>
      <c r="L415" s="6">
        <f ca="1">SUM(L$412,SUM(L$417-L$414,L$128-L$278)/(1-IF(L$6=OFFSET(Assumptions!$B$8,0,$C$1),AVERAGE((I$416-I$413)/(I$415-I$412),(J$416-J$413)/(J$415-J$412),(K$416-K$413)/(K$415-K$412)),(K$416-K$413)/(K$415-K$412))))</f>
        <v>6.4926774624367862</v>
      </c>
      <c r="M415" s="6">
        <f ca="1">SUM(M$412,SUM(M$417-M$414,M$128-M$278)/(1-IF(M$6=OFFSET(Assumptions!$B$8,0,$C$1),AVERAGE((J$416-J$413)/(J$415-J$412),(K$416-K$413)/(K$415-K$412),(L$416-L$413)/(L$415-L$412)),(L$416-L$413)/(L$415-L$412))))</f>
        <v>6.8316692639714542</v>
      </c>
      <c r="N415" s="6">
        <f ca="1">SUM(N$412,SUM(N$417-N$414,N$128-N$278)/(1-IF(N$6=OFFSET(Assumptions!$B$8,0,$C$1),AVERAGE((K$416-K$413)/(K$415-K$412),(L$416-L$413)/(L$415-L$412),(M$416-M$413)/(M$415-M$412)),(M$416-M$413)/(M$415-M$412))))</f>
        <v>7.1393410925446998</v>
      </c>
      <c r="O415" s="6">
        <f ca="1">SUM(O$412,SUM(O$417-O$414,O$128-O$278)/(1-IF(O$6=OFFSET(Assumptions!$B$8,0,$C$1),AVERAGE((L$416-L$413)/(L$415-L$412),(M$416-M$413)/(M$415-M$412),(N$416-N$413)/(N$415-N$412)),(N$416-N$413)/(N$415-N$412))))</f>
        <v>7.5078917387792758</v>
      </c>
      <c r="P415" s="6">
        <f ca="1">SUM(P$412,SUM(P$417-P$414,P$128-P$278)/(1-IF(P$6=OFFSET(Assumptions!$B$8,0,$C$1),AVERAGE((M$416-M$413)/(M$415-M$412),(N$416-N$413)/(N$415-N$412),(O$416-O$413)/(O$415-O$412)),(O$416-O$413)/(O$415-O$412))))</f>
        <v>7.9348057780467407</v>
      </c>
      <c r="Q415" s="6">
        <f ca="1">SUM(Q$412,SUM(Q$417-Q$414,Q$128-Q$278)/(1-IF(Q$6=OFFSET(Assumptions!$B$8,0,$C$1),AVERAGE((N$416-N$413)/(N$415-N$412),(O$416-O$413)/(O$415-O$412),(P$416-P$413)/(P$415-P$412)),(P$416-P$413)/(P$415-P$412))))</f>
        <v>8.4194130547714447</v>
      </c>
      <c r="R415" s="6">
        <f ca="1">SUM(R$412,SUM(R$417-R$414,R$128-R$278)/(1-IF(R$6=OFFSET(Assumptions!$B$8,0,$C$1),AVERAGE((O$416-O$413)/(O$415-O$412),(P$416-P$413)/(P$415-P$412),(Q$416-Q$413)/(Q$415-Q$412)),(Q$416-Q$413)/(Q$415-Q$412))))</f>
        <v>8.9247276478277087</v>
      </c>
      <c r="S415" s="6">
        <f ca="1">SUM(S$412,SUM(S$417-S$414,S$128-S$278)/(1-IF(S$6=OFFSET(Assumptions!$B$8,0,$C$1),AVERAGE((P$416-P$413)/(P$415-P$412),(Q$416-Q$413)/(Q$415-Q$412),(R$416-R$413)/(R$415-R$412)),(R$416-R$413)/(R$415-R$412))))</f>
        <v>9.4522300673835211</v>
      </c>
      <c r="T415" s="6">
        <f ca="1">SUM(T$412,SUM(T$417-T$414,T$128-T$278)/(1-IF(T$6=OFFSET(Assumptions!$B$8,0,$C$1),AVERAGE((Q$416-Q$413)/(Q$415-Q$412),(R$416-R$413)/(R$415-R$412),(S$416-S$413)/(S$415-S$412)),(S$416-S$413)/(S$415-S$412))))</f>
        <v>10.002537598569704</v>
      </c>
      <c r="U415" s="6">
        <f ca="1">SUM(U$412,SUM(U$417-U$414,U$128-U$278)/(1-IF(U$6=OFFSET(Assumptions!$B$8,0,$C$1),AVERAGE((R$416-R$413)/(R$415-R$412),(S$416-S$413)/(S$415-S$412),(T$416-T$413)/(T$415-T$412)),(T$416-T$413)/(T$415-T$412))))</f>
        <v>10.576627734440539</v>
      </c>
    </row>
    <row r="416" spans="1:21" x14ac:dyDescent="0.2">
      <c r="A416" s="1" t="s">
        <v>694</v>
      </c>
      <c r="B416" s="4" t="str">
        <f>$B$37</f>
        <v>From Fiscal</v>
      </c>
      <c r="D416" s="14">
        <f>SUM('Fiscal Forecasts'!D$328:D$330,'Fiscal Forecasts'!D$332)</f>
        <v>-2.8930000000000002</v>
      </c>
      <c r="E416" s="14">
        <f>SUM('Fiscal Forecasts'!E$328:E$330,'Fiscal Forecasts'!E$332)</f>
        <v>-2.7280000000000002</v>
      </c>
      <c r="F416" s="14">
        <f>SUM('Fiscal Forecasts'!F$328:F$330,'Fiscal Forecasts'!F$332)</f>
        <v>-3.2989999999999999</v>
      </c>
      <c r="G416" s="15">
        <f>SUM('Fiscal Forecasts'!G$328:G$330,'Fiscal Forecasts'!G$332)</f>
        <v>-1.0669999999999999</v>
      </c>
      <c r="H416" s="15">
        <f>SUM('Fiscal Forecasts'!H$328:H$330,'Fiscal Forecasts'!H$332)</f>
        <v>-0.127</v>
      </c>
      <c r="I416" s="15">
        <f>SUM('Fiscal Forecasts'!I$328:I$330,'Fiscal Forecasts'!I$332)</f>
        <v>-0.159</v>
      </c>
      <c r="J416" s="15">
        <f>SUM('Fiscal Forecasts'!J$328:J$330,'Fiscal Forecasts'!J$332)</f>
        <v>-0.13300000000000001</v>
      </c>
      <c r="K416" s="15">
        <f>SUM('Fiscal Forecasts'!K$328:K$330,'Fiscal Forecasts'!K$332)</f>
        <v>-0.114</v>
      </c>
      <c r="L416" s="6">
        <f ca="1">SUM(L$413,IF(L$6=OFFSET(Assumptions!$B$8,0,$C$1),AVERAGE((I$416-I$413)/(I$415-I$412),(J$416-J$413)/(J$415-J$412),(K$416-K$413)/(K$415-K$412)),(K$416-K$413)/(K$415-K$412))*(L$415-L$412))</f>
        <v>-0.11891602092287426</v>
      </c>
      <c r="M416" s="6">
        <f ca="1">SUM(M$413,IF(M$6=OFFSET(Assumptions!$B$8,0,$C$1),AVERAGE((J$416-J$413)/(J$415-J$412),(K$416-K$413)/(K$415-K$412),(L$416-L$413)/(L$415-L$412)),(L$416-L$413)/(L$415-L$412))*(M$415-M$412))</f>
        <v>-0.1249818854993605</v>
      </c>
      <c r="N416" s="6">
        <f ca="1">SUM(N$413,IF(N$6=OFFSET(Assumptions!$B$8,0,$C$1),AVERAGE((K$416-K$413)/(K$415-K$412),(L$416-L$413)/(L$415-L$412),(M$416-M$413)/(M$415-M$412)),(M$416-M$413)/(M$415-M$412))*(N$415-N$412))</f>
        <v>-0.13021789538590842</v>
      </c>
      <c r="O416" s="6">
        <f ca="1">SUM(O$413,IF(O$6=OFFSET(Assumptions!$B$8,0,$C$1),AVERAGE((L$416-L$413)/(L$415-L$412),(M$416-M$413)/(M$415-M$412),(N$416-N$413)/(N$415-N$412)),(N$416-N$413)/(N$415-N$412))*(O$415-O$412))</f>
        <v>-0.13642808555189354</v>
      </c>
      <c r="P416" s="6">
        <f ca="1">SUM(P$413,IF(P$6=OFFSET(Assumptions!$B$8,0,$C$1),AVERAGE((M$416-M$413)/(M$415-M$412),(N$416-N$413)/(N$415-N$412),(O$416-O$413)/(O$415-O$412)),(O$416-O$413)/(O$415-O$412))*(P$415-P$412))</f>
        <v>-0.14357499113821243</v>
      </c>
      <c r="Q416" s="6">
        <f ca="1">SUM(Q$413,IF(Q$6=OFFSET(Assumptions!$B$8,0,$C$1),AVERAGE((N$416-N$413)/(N$415-N$412),(O$416-O$413)/(O$415-O$412),(P$416-P$413)/(P$415-P$412)),(P$416-P$413)/(P$415-P$412))*(Q$415-Q$412))</f>
        <v>-0.15164863852551125</v>
      </c>
      <c r="R416" s="6">
        <f ca="1">SUM(R$413,IF(R$6=OFFSET(Assumptions!$B$8,0,$C$1),AVERAGE((O$416-O$413)/(O$415-O$412),(P$416-P$413)/(P$415-P$412),(Q$416-Q$413)/(Q$415-Q$412)),(Q$416-Q$413)/(Q$415-Q$412))*(R$415-R$412))</f>
        <v>-0.16006451554332013</v>
      </c>
      <c r="S416" s="6">
        <f ca="1">SUM(S$413,IF(S$6=OFFSET(Assumptions!$B$8,0,$C$1),AVERAGE((P$416-P$413)/(P$415-P$412),(Q$416-Q$413)/(Q$415-Q$412),(R$416-R$413)/(R$415-R$412)),(R$416-R$413)/(R$415-R$412))*(S$415-S$412))</f>
        <v>-0.16884700856369789</v>
      </c>
      <c r="T416" s="6">
        <f ca="1">SUM(T$413,IF(T$6=OFFSET(Assumptions!$B$8,0,$C$1),AVERAGE((Q$416-Q$413)/(Q$415-Q$412),(R$416-R$413)/(R$415-R$412),(S$416-S$413)/(S$415-S$412)),(S$416-S$413)/(S$415-S$412))*(T$415-T$412))</f>
        <v>-0.1780063614139199</v>
      </c>
      <c r="U416" s="6">
        <f ca="1">SUM(U$413,IF(U$6=OFFSET(Assumptions!$B$8,0,$C$1),AVERAGE((R$416-R$413)/(R$415-R$412),(S$416-S$413)/(S$415-S$412),(T$416-T$413)/(T$415-T$412)),(T$416-T$413)/(T$415-T$412))*(U$415-U$412))</f>
        <v>-0.18755910736718684</v>
      </c>
    </row>
    <row r="417" spans="1:21" x14ac:dyDescent="0.2">
      <c r="A417" s="1" t="s">
        <v>1228</v>
      </c>
      <c r="B417" s="4" t="str">
        <f>$B$37</f>
        <v>From Fiscal</v>
      </c>
      <c r="D417" s="14">
        <f>'Fiscal Forecasts'!D$331</f>
        <v>3.8730000000000002</v>
      </c>
      <c r="E417" s="14">
        <f>'Fiscal Forecasts'!E$331</f>
        <v>3.9119999999999999</v>
      </c>
      <c r="F417" s="14">
        <f>'Fiscal Forecasts'!F$331</f>
        <v>4.0730000000000004</v>
      </c>
      <c r="G417" s="15">
        <f>'Fiscal Forecasts'!G$331</f>
        <v>4.7770000000000001</v>
      </c>
      <c r="H417" s="15">
        <f>'Fiscal Forecasts'!H$331</f>
        <v>4.84</v>
      </c>
      <c r="I417" s="15">
        <f>'Fiscal Forecasts'!I$331</f>
        <v>4.8499999999999996</v>
      </c>
      <c r="J417" s="15">
        <f>'Fiscal Forecasts'!J$331</f>
        <v>4.9210000000000003</v>
      </c>
      <c r="K417" s="15">
        <f>'Fiscal Forecasts'!K$331</f>
        <v>4.9829999999999997</v>
      </c>
      <c r="L417" s="6">
        <f ca="1">SUM(L$414,IF(L$6=OFFSET(Assumptions!$B$8,0,$C$1),AVERAGE((I$417-I$414)/SUM(H$409:H$410),(J$417-J$414)/SUM(I$409:I$410),(K$417-K$414)/SUM(J$409:J$410)),(K$417-K$414)/SUM(J$409:J$410))*SUM(K$409:K$410))</f>
        <v>5.2256934820093939</v>
      </c>
      <c r="M417" s="6">
        <f ca="1">SUM(M$414,IF(M$6=OFFSET(Assumptions!$B$8,0,$C$1),AVERAGE((J$417-J$414)/SUM(I$409:I$410),(K$417-K$414)/SUM(J$409:J$410),(L$417-L$414)/SUM(K$409:K$410)),(L$417-L$414)/SUM(K$409:K$410))*SUM(L$409:L$410))</f>
        <v>5.4044318759016239</v>
      </c>
      <c r="N417" s="6">
        <f ca="1">SUM(N$414,IF(N$6=OFFSET(Assumptions!$B$8,0,$C$1),AVERAGE((K$417-K$414)/SUM(J$409:J$410),(L$417-L$414)/SUM(K$409:K$410),(M$417-M$414)/SUM(L$409:L$410)),(M$417-M$414)/SUM(L$409:L$410))*SUM(M$409:M$410))</f>
        <v>5.6484514438797353</v>
      </c>
      <c r="O417" s="6">
        <f ca="1">SUM(O$414,IF(O$6=OFFSET(Assumptions!$B$8,0,$C$1),AVERAGE((L$417-L$414)/SUM(K$409:K$410),(M$417-M$414)/SUM(L$409:L$410),(N$417-N$414)/SUM(M$409:M$410)),(N$417-N$414)/SUM(M$409:M$410))*SUM(N$409:N$410))</f>
        <v>5.9526830107350506</v>
      </c>
      <c r="P417" s="6">
        <f ca="1">SUM(P$414,IF(P$6=OFFSET(Assumptions!$B$8,0,$C$1),AVERAGE((M$417-M$414)/SUM(L$409:L$410),(N$417-N$414)/SUM(M$409:M$410),(O$417-O$414)/SUM(N$409:N$410)),(O$417-O$414)/SUM(N$409:N$410))*SUM(O$409:O$410))</f>
        <v>6.3139193671659744</v>
      </c>
      <c r="Q417" s="6">
        <f ca="1">SUM(Q$414,IF(Q$6=OFFSET(Assumptions!$B$8,0,$C$1),AVERAGE((N$417-N$414)/SUM(M$409:M$410),(O$417-O$414)/SUM(N$409:N$410),(P$417-P$414)/SUM(O$409:O$410)),(P$417-P$414)/SUM(O$409:O$410))*SUM(P$409:P$410))</f>
        <v>6.7324122205171752</v>
      </c>
      <c r="R417" s="6">
        <f ca="1">SUM(R$414,IF(R$6=OFFSET(Assumptions!$B$8,0,$C$1),AVERAGE((O$417-O$414)/SUM(N$409:N$410),(P$417-P$414)/SUM(O$409:O$410),(Q$417-Q$414)/SUM(P$409:P$410)),(Q$417-Q$414)/SUM(P$409:P$410))*SUM(Q$409:Q$410))</f>
        <v>7.169638727544692</v>
      </c>
      <c r="S417" s="6">
        <f ca="1">SUM(S$414,IF(S$6=OFFSET(Assumptions!$B$8,0,$C$1),AVERAGE((P$417-P$414)/SUM(O$409:O$410),(Q$417-Q$414)/SUM(P$409:P$410),(R$417-R$414)/SUM(Q$409:Q$410)),(R$417-R$414)/SUM(Q$409:Q$410))*SUM(R$409:R$410))</f>
        <v>7.6264138978422347</v>
      </c>
      <c r="T417" s="6">
        <f ca="1">SUM(T$414,IF(T$6=OFFSET(Assumptions!$B$8,0,$C$1),AVERAGE((Q$417-Q$414)/SUM(P$409:P$410),(R$417-R$414)/SUM(Q$409:Q$410),(S$417-S$414)/SUM(R$409:R$410)),(S$417-S$414)/SUM(R$409:R$410))*SUM(S$409:S$410))</f>
        <v>8.1035928603353788</v>
      </c>
      <c r="U417" s="6">
        <f ca="1">SUM(U$414,IF(U$6=OFFSET(Assumptions!$B$8,0,$C$1),AVERAGE((R$417-R$414)/SUM(Q$409:Q$410),(S$417-S$414)/SUM(R$409:R$410),(T$417-T$414)/SUM(S$409:S$410)),(T$417-T$414)/SUM(S$409:S$410))*SUM(T$409:T$410))</f>
        <v>8.6020679974506962</v>
      </c>
    </row>
    <row r="418" spans="1:21" x14ac:dyDescent="0.2">
      <c r="B418" s="63"/>
      <c r="C418" s="63"/>
      <c r="D418" s="63"/>
      <c r="E418" s="63"/>
      <c r="F418" s="63"/>
      <c r="G418" s="63"/>
      <c r="H418" s="63"/>
      <c r="I418" s="63"/>
      <c r="J418" s="63"/>
      <c r="K418" s="63"/>
      <c r="L418" s="63"/>
      <c r="M418" s="63"/>
      <c r="N418" s="63"/>
      <c r="O418" s="63"/>
      <c r="P418" s="63"/>
      <c r="Q418" s="63"/>
      <c r="R418" s="63"/>
      <c r="S418" s="63"/>
      <c r="T418" s="63"/>
      <c r="U418" s="63"/>
    </row>
    <row r="419" spans="1:21" x14ac:dyDescent="0.2">
      <c r="A419" s="18" t="s">
        <v>220</v>
      </c>
      <c r="B419" s="63"/>
      <c r="C419" s="63"/>
      <c r="D419" s="63"/>
      <c r="E419" s="63"/>
      <c r="F419" s="63"/>
      <c r="G419" s="63"/>
      <c r="H419" s="63"/>
      <c r="I419" s="63"/>
      <c r="J419" s="63"/>
      <c r="K419" s="63"/>
      <c r="L419" s="63"/>
      <c r="M419" s="63"/>
      <c r="N419" s="63"/>
      <c r="O419" s="63"/>
      <c r="P419" s="63"/>
      <c r="Q419" s="63"/>
      <c r="R419" s="63"/>
      <c r="S419" s="63"/>
      <c r="T419" s="63"/>
      <c r="U419" s="63"/>
    </row>
    <row r="420" spans="1:21" x14ac:dyDescent="0.2">
      <c r="A420" s="1" t="s">
        <v>602</v>
      </c>
      <c r="B420" s="4"/>
      <c r="D420" s="14">
        <f ca="1">D$377-D$406</f>
        <v>1.09778</v>
      </c>
      <c r="E420" s="14">
        <f ca="1">E$377-E$406</f>
        <v>1.2507299999999999</v>
      </c>
      <c r="F420" s="14">
        <f ca="1">F$377-F$406</f>
        <v>1.47194</v>
      </c>
      <c r="G420" s="15">
        <f t="shared" ref="G420:K420" ca="1" si="207">G$377-G$406</f>
        <v>1.4653499999999999</v>
      </c>
      <c r="H420" s="15">
        <f t="shared" ca="1" si="207"/>
        <v>1.54542</v>
      </c>
      <c r="I420" s="15">
        <f t="shared" ca="1" si="207"/>
        <v>1.5649999999999999</v>
      </c>
      <c r="J420" s="15">
        <f t="shared" ca="1" si="207"/>
        <v>1.5775400000000002</v>
      </c>
      <c r="K420" s="15">
        <f t="shared" ca="1" si="207"/>
        <v>1.5863300000000002</v>
      </c>
      <c r="L420" s="6">
        <f ca="1">OFFSET(Assumptions!$B$76,0,$C$1)/SUM(OFFSET(Assumptions!$B$71,0,$C$1,6,1))*SUM(L$373,L$69,-L$341,L$448)</f>
        <v>3.2261025741940776</v>
      </c>
      <c r="M420" s="6">
        <f ca="1">OFFSET(Assumptions!$B$76,0,$C$1)/SUM(OFFSET(Assumptions!$B$71,0,$C$1,6,1))*SUM(M$373,M$69,-M$341,M$448)</f>
        <v>3.5321381975076753</v>
      </c>
      <c r="N420" s="6">
        <f ca="1">OFFSET(Assumptions!$B$76,0,$C$1)/SUM(OFFSET(Assumptions!$B$71,0,$C$1,6,1))*SUM(N$373,N$69,-N$341,N$448)</f>
        <v>3.8504302704882853</v>
      </c>
      <c r="O420" s="6">
        <f ca="1">OFFSET(Assumptions!$B$76,0,$C$1)/SUM(OFFSET(Assumptions!$B$71,0,$C$1,6,1))*SUM(O$373,O$69,-O$341,O$448)</f>
        <v>4.1806778853278512</v>
      </c>
      <c r="P420" s="6">
        <f ca="1">OFFSET(Assumptions!$B$76,0,$C$1)/SUM(OFFSET(Assumptions!$B$71,0,$C$1,6,1))*SUM(P$373,P$69,-P$341,P$448)</f>
        <v>4.5227884532753304</v>
      </c>
      <c r="Q420" s="6">
        <f ca="1">OFFSET(Assumptions!$B$76,0,$C$1)/SUM(OFFSET(Assumptions!$B$71,0,$C$1,6,1))*SUM(Q$373,Q$69,-Q$341,Q$448)</f>
        <v>4.8714490418836256</v>
      </c>
      <c r="R420" s="6">
        <f ca="1">OFFSET(Assumptions!$B$76,0,$C$1)/SUM(OFFSET(Assumptions!$B$71,0,$C$1,6,1))*SUM(R$373,R$69,-R$341,R$448)</f>
        <v>5.2267357628690867</v>
      </c>
      <c r="S420" s="6">
        <f ca="1">OFFSET(Assumptions!$B$76,0,$C$1)/SUM(OFFSET(Assumptions!$B$71,0,$C$1,6,1))*SUM(S$373,S$69,-S$341,S$448)</f>
        <v>5.5910546445611882</v>
      </c>
      <c r="T420" s="6">
        <f ca="1">OFFSET(Assumptions!$B$76,0,$C$1)/SUM(OFFSET(Assumptions!$B$71,0,$C$1,6,1))*SUM(T$373,T$69,-T$341,T$448)</f>
        <v>5.9653201735222714</v>
      </c>
      <c r="U420" s="6">
        <f ca="1">OFFSET(Assumptions!$B$76,0,$C$1)/SUM(OFFSET(Assumptions!$B$71,0,$C$1,6,1))*SUM(U$373,U$69,-U$341,U$448)</f>
        <v>6.3497413661525952</v>
      </c>
    </row>
    <row r="421" spans="1:21" x14ac:dyDescent="0.2">
      <c r="A421" s="1" t="s">
        <v>603</v>
      </c>
      <c r="B421" s="4" t="str">
        <f>$B$37</f>
        <v>From Fiscal</v>
      </c>
      <c r="D421" s="14">
        <f ca="1">'Fiscal Forecasts'!D$173-D$420</f>
        <v>33.785220000000002</v>
      </c>
      <c r="E421" s="14">
        <f ca="1">'Fiscal Forecasts'!E$173-E$420</f>
        <v>37.12527</v>
      </c>
      <c r="F421" s="14">
        <f ca="1">'Fiscal Forecasts'!F$173-F$420</f>
        <v>41.529060000000001</v>
      </c>
      <c r="G421" s="15">
        <f ca="1">'Fiscal Forecasts'!G$173-G$420</f>
        <v>44.517649999999996</v>
      </c>
      <c r="H421" s="15">
        <f ca="1">'Fiscal Forecasts'!H$173-H$420</f>
        <v>48.552579999999999</v>
      </c>
      <c r="I421" s="15">
        <f ca="1">'Fiscal Forecasts'!I$173-I$420</f>
        <v>50.989000000000004</v>
      </c>
      <c r="J421" s="15">
        <f ca="1">'Fiscal Forecasts'!J$173-J$420</f>
        <v>52.995460000000001</v>
      </c>
      <c r="K421" s="15">
        <f ca="1">'Fiscal Forecasts'!K$173-K$420</f>
        <v>54.568669999999997</v>
      </c>
      <c r="L421" s="6">
        <f t="shared" ref="L421:U421" ca="1" si="208">SUM(K$421,L$128-L$278)</f>
        <v>55.891019486511446</v>
      </c>
      <c r="M421" s="6">
        <f t="shared" ca="1" si="208"/>
        <v>57.382031635417917</v>
      </c>
      <c r="N421" s="6">
        <f t="shared" ca="1" si="208"/>
        <v>58.93948076487267</v>
      </c>
      <c r="O421" s="6">
        <f t="shared" ca="1" si="208"/>
        <v>60.565068055500873</v>
      </c>
      <c r="P421" s="6">
        <f t="shared" ca="1" si="208"/>
        <v>62.261107343930355</v>
      </c>
      <c r="Q421" s="6">
        <f t="shared" ca="1" si="208"/>
        <v>64.03002469898847</v>
      </c>
      <c r="R421" s="6">
        <f t="shared" ca="1" si="208"/>
        <v>65.87412079061771</v>
      </c>
      <c r="S421" s="6">
        <f t="shared" ca="1" si="208"/>
        <v>67.795920192384273</v>
      </c>
      <c r="T421" s="6">
        <f t="shared" ca="1" si="208"/>
        <v>69.798018186240299</v>
      </c>
      <c r="U421" s="6">
        <f t="shared" ca="1" si="208"/>
        <v>71.883252792071261</v>
      </c>
    </row>
    <row r="422" spans="1:21" ht="15" x14ac:dyDescent="0.25">
      <c r="A422" s="2" t="s">
        <v>604</v>
      </c>
      <c r="B422" s="4"/>
      <c r="D422" s="34">
        <f t="shared" ref="D422:U422" ca="1" si="209">SUM(D$420:D$421)</f>
        <v>34.883000000000003</v>
      </c>
      <c r="E422" s="34">
        <f t="shared" ca="1" si="209"/>
        <v>38.375999999999998</v>
      </c>
      <c r="F422" s="34">
        <f t="shared" ca="1" si="209"/>
        <v>43.001000000000005</v>
      </c>
      <c r="G422" s="33">
        <f t="shared" ca="1" si="209"/>
        <v>45.982999999999997</v>
      </c>
      <c r="H422" s="33">
        <f t="shared" ca="1" si="209"/>
        <v>50.097999999999999</v>
      </c>
      <c r="I422" s="33">
        <f t="shared" ca="1" si="209"/>
        <v>52.554000000000002</v>
      </c>
      <c r="J422" s="33">
        <f t="shared" ca="1" si="209"/>
        <v>54.573</v>
      </c>
      <c r="K422" s="33">
        <f t="shared" ca="1" si="209"/>
        <v>56.155000000000001</v>
      </c>
      <c r="L422" s="37">
        <f t="shared" ca="1" si="209"/>
        <v>59.117122060705526</v>
      </c>
      <c r="M422" s="37">
        <f t="shared" ca="1" si="209"/>
        <v>60.914169832925595</v>
      </c>
      <c r="N422" s="37">
        <f t="shared" ca="1" si="209"/>
        <v>62.789911035360959</v>
      </c>
      <c r="O422" s="37">
        <f t="shared" ca="1" si="209"/>
        <v>64.745745940828726</v>
      </c>
      <c r="P422" s="37">
        <f t="shared" ca="1" si="209"/>
        <v>66.783895797205687</v>
      </c>
      <c r="Q422" s="37">
        <f t="shared" ca="1" si="209"/>
        <v>68.901473740872092</v>
      </c>
      <c r="R422" s="37">
        <f t="shared" ca="1" si="209"/>
        <v>71.100856553486793</v>
      </c>
      <c r="S422" s="37">
        <f t="shared" ca="1" si="209"/>
        <v>73.386974836945456</v>
      </c>
      <c r="T422" s="37">
        <f t="shared" ca="1" si="209"/>
        <v>75.763338359762571</v>
      </c>
      <c r="U422" s="37">
        <f t="shared" ca="1" si="209"/>
        <v>78.23299415822386</v>
      </c>
    </row>
    <row r="423" spans="1:21" ht="15" x14ac:dyDescent="0.25">
      <c r="A423" s="2" t="s">
        <v>605</v>
      </c>
      <c r="B423" s="4" t="str">
        <f>$B$37</f>
        <v>From Fiscal</v>
      </c>
      <c r="D423" s="39">
        <f>'Fiscal Forecasts'!D$122</f>
        <v>11.917999999999999</v>
      </c>
      <c r="E423" s="39">
        <f>'Fiscal Forecasts'!E$122</f>
        <v>12.705</v>
      </c>
      <c r="F423" s="39">
        <f>'Fiscal Forecasts'!F$122</f>
        <v>14.21</v>
      </c>
      <c r="G423" s="38">
        <f>'Fiscal Forecasts'!G$122</f>
        <v>14.808</v>
      </c>
      <c r="H423" s="38">
        <f>'Fiscal Forecasts'!H$122</f>
        <v>15.384</v>
      </c>
      <c r="I423" s="38">
        <f>'Fiscal Forecasts'!I$122</f>
        <v>15.821</v>
      </c>
      <c r="J423" s="38">
        <f>'Fiscal Forecasts'!J$122</f>
        <v>16.356000000000002</v>
      </c>
      <c r="K423" s="38">
        <f>'Fiscal Forecasts'!K$122</f>
        <v>16.858000000000001</v>
      </c>
      <c r="L423" s="7">
        <f ca="1">IF(L$6=OFFSET(Assumptions!$B$8,0,$C$1),AVERAGE(I$423/I$421,J$423/J$421,K$423/K$421),K$423/K$421)*L$421</f>
        <v>17.286061468192155</v>
      </c>
      <c r="M423" s="7">
        <f ca="1">IF(M$6=OFFSET(Assumptions!$B$8,0,$C$1),AVERAGE(J$423/J$421,K$423/K$421,L$423/L$421),L$423/L$421)*M$421</f>
        <v>17.747204025486869</v>
      </c>
      <c r="N423" s="7">
        <f ca="1">IF(N$6=OFFSET(Assumptions!$B$8,0,$C$1),AVERAGE(K$423/K$421,L$423/L$421,M$423/M$421),M$423/M$421)*N$421</f>
        <v>18.228894315495527</v>
      </c>
      <c r="O423" s="7">
        <f ca="1">IF(O$6=OFFSET(Assumptions!$B$8,0,$C$1),AVERAGE(L$423/L$421,M$423/M$421,N$423/N$421),N$423/N$421)*O$421</f>
        <v>18.731658482008765</v>
      </c>
      <c r="P423" s="7">
        <f ca="1">IF(P$6=OFFSET(Assumptions!$B$8,0,$C$1),AVERAGE(M$423/M$421,N$423/N$421,O$423/O$421),O$423/O$421)*P$421</f>
        <v>19.256212152018961</v>
      </c>
      <c r="Q423" s="7">
        <f ca="1">IF(Q$6=OFFSET(Assumptions!$B$8,0,$C$1),AVERAGE(N$423/N$421,O$423/O$421,P$423/P$421),P$423/P$421)*Q$421</f>
        <v>19.803305663867782</v>
      </c>
      <c r="R423" s="7">
        <f ca="1">IF(R$6=OFFSET(Assumptions!$B$8,0,$C$1),AVERAGE(O$423/O$421,P$423/P$421,Q$423/Q$421),Q$423/Q$421)*R$421</f>
        <v>20.373650572334679</v>
      </c>
      <c r="S423" s="7">
        <f ca="1">IF(S$6=OFFSET(Assumptions!$B$8,0,$C$1),AVERAGE(P$423/P$421,Q$423/Q$421,R$423/R$421),R$423/R$421)*S$421</f>
        <v>20.968027681460214</v>
      </c>
      <c r="T423" s="7">
        <f ca="1">IF(T$6=OFFSET(Assumptions!$B$8,0,$C$1),AVERAGE(Q$423/Q$421,R$423/R$421,S$423/S$421),S$423/S$421)*T$421</f>
        <v>21.587239664084574</v>
      </c>
      <c r="U423" s="7">
        <f ca="1">IF(U$6=OFFSET(Assumptions!$B$8,0,$C$1),AVERAGE(R$423/R$421,S$423/S$421,T$423/T$421),T$423/T$421)*U$421</f>
        <v>22.232164267413641</v>
      </c>
    </row>
    <row r="424" spans="1:21" ht="15" x14ac:dyDescent="0.25">
      <c r="A424" s="2"/>
      <c r="B424" s="4"/>
      <c r="D424" s="7"/>
      <c r="E424" s="7"/>
      <c r="F424" s="7"/>
      <c r="G424" s="7"/>
      <c r="H424" s="7"/>
      <c r="I424" s="7"/>
      <c r="J424" s="7"/>
      <c r="K424" s="7"/>
      <c r="L424" s="7"/>
      <c r="M424" s="7"/>
      <c r="N424" s="7"/>
      <c r="O424" s="7"/>
      <c r="P424" s="7"/>
      <c r="Q424" s="7"/>
      <c r="R424" s="7"/>
      <c r="S424" s="7"/>
      <c r="T424" s="7"/>
      <c r="U424" s="7"/>
    </row>
    <row r="425" spans="1:21" ht="15" x14ac:dyDescent="0.25">
      <c r="A425" s="18" t="s">
        <v>221</v>
      </c>
      <c r="B425" s="4"/>
      <c r="D425" s="39"/>
      <c r="E425" s="39"/>
      <c r="F425" s="39"/>
      <c r="G425" s="38"/>
      <c r="H425" s="38"/>
      <c r="I425" s="38"/>
      <c r="J425" s="38"/>
      <c r="K425" s="38"/>
      <c r="L425" s="38"/>
      <c r="M425" s="38"/>
      <c r="N425" s="38"/>
      <c r="O425" s="38"/>
      <c r="P425" s="38"/>
      <c r="Q425" s="38"/>
      <c r="R425" s="38"/>
      <c r="S425" s="38"/>
      <c r="T425" s="38"/>
      <c r="U425" s="38"/>
    </row>
    <row r="426" spans="1:21" ht="15" x14ac:dyDescent="0.25">
      <c r="A426" s="2" t="s">
        <v>298</v>
      </c>
      <c r="B426" s="4" t="str">
        <f>$B$37</f>
        <v>From Fiscal</v>
      </c>
      <c r="D426" s="14">
        <f>'Fiscal Forecasts'!D$174</f>
        <v>1.2390000000000001</v>
      </c>
      <c r="E426" s="14">
        <f>'Fiscal Forecasts'!E$174</f>
        <v>1.351</v>
      </c>
      <c r="F426" s="14">
        <f>'Fiscal Forecasts'!F$174</f>
        <v>1.478</v>
      </c>
      <c r="G426" s="15">
        <f>'Fiscal Forecasts'!G$174</f>
        <v>1.6919999999999999</v>
      </c>
      <c r="H426" s="15">
        <f>'Fiscal Forecasts'!H$174</f>
        <v>1.8149999999999999</v>
      </c>
      <c r="I426" s="15">
        <f>'Fiscal Forecasts'!I$174</f>
        <v>1.8879999999999999</v>
      </c>
      <c r="J426" s="15">
        <f>'Fiscal Forecasts'!J$174</f>
        <v>1.958</v>
      </c>
      <c r="K426" s="15">
        <f>'Fiscal Forecasts'!K$174</f>
        <v>1.8759999999999999</v>
      </c>
      <c r="L426" s="6">
        <f ca="1">(K$426/K$13+ IF(L$2&gt;0,L$2*IF(L$6=OFFSET(Assumptions!$B$8,0,$C$1),SUMPRODUCT(OFFSET(K$426,0,0,1,-OFFSET(Assumptions!$B$84,0,$C$1)),OFFSET(K$15,0,0,1,-OFFSET(Assumptions!$B$84,0,$C$1)))/OFFSET(Assumptions!$B$84,0,$C$1)-K$426/K$13,(K$426/K$13-J$426/J$13)/K$2),0))*L$13</f>
        <v>2.0056365977032073</v>
      </c>
      <c r="M426" s="6">
        <f ca="1">(L$426/L$13+ IF(M$2&gt;0,M$2*IF(M$6=OFFSET(Assumptions!$B$8,0,$C$1),SUMPRODUCT(OFFSET(L$426,0,0,1,-OFFSET(Assumptions!$B$84,0,$C$1)),OFFSET(L$15,0,0,1,-OFFSET(Assumptions!$B$84,0,$C$1)))/OFFSET(Assumptions!$B$84,0,$C$1)-L$426/L$13,(L$426/L$13-K$426/K$13)/L$2),0))*M$13</f>
        <v>2.1319307461339796</v>
      </c>
      <c r="N426" s="6">
        <f ca="1">(M$426/M$13+ IF(N$2&gt;0,N$2*IF(N$6=OFFSET(Assumptions!$B$8,0,$C$1),SUMPRODUCT(OFFSET(M$426,0,0,1,-OFFSET(Assumptions!$B$84,0,$C$1)),OFFSET(M$15,0,0,1,-OFFSET(Assumptions!$B$84,0,$C$1)))/OFFSET(Assumptions!$B$84,0,$C$1)-M$426/M$13,(M$426/M$13-L$426/L$13)/M$2),0))*N$13</f>
        <v>2.2542244172012058</v>
      </c>
      <c r="O426" s="6">
        <f ca="1">(N$426/N$13+ IF(O$2&gt;0,O$2*IF(O$6=OFFSET(Assumptions!$B$8,0,$C$1),SUMPRODUCT(OFFSET(N$426,0,0,1,-OFFSET(Assumptions!$B$84,0,$C$1)),OFFSET(N$15,0,0,1,-OFFSET(Assumptions!$B$84,0,$C$1)))/OFFSET(Assumptions!$B$84,0,$C$1)-N$426/N$13,(N$426/N$13-M$426/M$13)/N$2),0))*O$13</f>
        <v>2.3718415533244537</v>
      </c>
      <c r="P426" s="6">
        <f ca="1">(O$426/O$13+ IF(P$2&gt;0,P$2*IF(P$6=OFFSET(Assumptions!$B$8,0,$C$1),SUMPRODUCT(OFFSET(O$426,0,0,1,-OFFSET(Assumptions!$B$84,0,$C$1)),OFFSET(O$15,0,0,1,-OFFSET(Assumptions!$B$84,0,$C$1)))/OFFSET(Assumptions!$B$84,0,$C$1)-O$426/O$13,(O$426/O$13-N$426/N$13)/O$2),0))*P$13</f>
        <v>2.4845449732310536</v>
      </c>
      <c r="Q426" s="6">
        <f ca="1">(P$426/P$13+ IF(Q$2&gt;0,Q$2*IF(Q$6=OFFSET(Assumptions!$B$8,0,$C$1),SUMPRODUCT(OFFSET(P$426,0,0,1,-OFFSET(Assumptions!$B$84,0,$C$1)),OFFSET(P$15,0,0,1,-OFFSET(Assumptions!$B$84,0,$C$1)))/OFFSET(Assumptions!$B$84,0,$C$1)-P$426/P$13,(P$426/P$13-O$426/O$13)/P$2),0))*Q$13</f>
        <v>2.5913047843605757</v>
      </c>
      <c r="R426" s="6">
        <f ca="1">(Q$426/Q$13+ IF(R$2&gt;0,R$2*IF(R$6=OFFSET(Assumptions!$B$8,0,$C$1),SUMPRODUCT(OFFSET(Q$426,0,0,1,-OFFSET(Assumptions!$B$84,0,$C$1)),OFFSET(Q$15,0,0,1,-OFFSET(Assumptions!$B$84,0,$C$1)))/OFFSET(Assumptions!$B$84,0,$C$1)-Q$426/Q$13,(Q$426/Q$13-P$426/P$13)/Q$2),0))*R$13</f>
        <v>2.7014348699758712</v>
      </c>
      <c r="S426" s="6">
        <f ca="1">(R$426/R$13+ IF(S$2&gt;0,S$2*IF(S$6=OFFSET(Assumptions!$B$8,0,$C$1),SUMPRODUCT(OFFSET(R$426,0,0,1,-OFFSET(Assumptions!$B$84,0,$C$1)),OFFSET(R$15,0,0,1,-OFFSET(Assumptions!$B$84,0,$C$1)))/OFFSET(Assumptions!$B$84,0,$C$1)-R$426/R$13,(R$426/R$13-Q$426/Q$13)/R$2),0))*S$13</f>
        <v>2.8152632287421748</v>
      </c>
      <c r="T426" s="6">
        <f ca="1">(S$426/S$13+ IF(T$2&gt;0,T$2*IF(T$6=OFFSET(Assumptions!$B$8,0,$C$1),SUMPRODUCT(OFFSET(S$426,0,0,1,-OFFSET(Assumptions!$B$84,0,$C$1)),OFFSET(S$15,0,0,1,-OFFSET(Assumptions!$B$84,0,$C$1)))/OFFSET(Assumptions!$B$84,0,$C$1)-S$426/S$13,(S$426/S$13-R$426/R$13)/S$2),0))*T$13</f>
        <v>2.9328934420836061</v>
      </c>
      <c r="U426" s="6">
        <f ca="1">(T$426/T$13+ IF(U$2&gt;0,U$2*IF(U$6=OFFSET(Assumptions!$B$8,0,$C$1),SUMPRODUCT(OFFSET(T$426,0,0,1,-OFFSET(Assumptions!$B$84,0,$C$1)),OFFSET(T$15,0,0,1,-OFFSET(Assumptions!$B$84,0,$C$1)))/OFFSET(Assumptions!$B$84,0,$C$1)-T$426/T$13,(T$426/T$13-S$426/S$13)/T$2),0))*U$13</f>
        <v>3.0546810992345557</v>
      </c>
    </row>
    <row r="427" spans="1:21" x14ac:dyDescent="0.2">
      <c r="A427" s="1" t="s">
        <v>272</v>
      </c>
      <c r="B427" s="4" t="str">
        <f>$B$37</f>
        <v>From Fiscal</v>
      </c>
      <c r="D427" s="14">
        <f>'Fiscal Forecasts'!D$336</f>
        <v>0.60699999999999998</v>
      </c>
      <c r="E427" s="14">
        <f>'Fiscal Forecasts'!E$336</f>
        <v>0.54400000000000004</v>
      </c>
      <c r="F427" s="14">
        <f>'Fiscal Forecasts'!F$336</f>
        <v>0.57199999999999995</v>
      </c>
      <c r="G427" s="15">
        <f>'Fiscal Forecasts'!G$336</f>
        <v>0.56499999999999995</v>
      </c>
      <c r="H427" s="15">
        <f>'Fiscal Forecasts'!H$336</f>
        <v>0.60199999999999998</v>
      </c>
      <c r="I427" s="15">
        <f>'Fiscal Forecasts'!I$336</f>
        <v>0.61599999999999999</v>
      </c>
      <c r="J427" s="15">
        <f>'Fiscal Forecasts'!J$336</f>
        <v>0.59599999999999997</v>
      </c>
      <c r="K427" s="15">
        <f>'Fiscal Forecasts'!K$336</f>
        <v>0.58099999999999996</v>
      </c>
      <c r="L427" s="6">
        <f ca="1">(K$427/K$13+ IF(L$2&gt;0,L$2*IF(L$6=OFFSET(Assumptions!$B$8,0,$C$1),SUMPRODUCT(OFFSET(K$427,0,0,1,-OFFSET(Assumptions!$B$84,0,$C$1)),OFFSET(K$15,0,0,1,-OFFSET(Assumptions!$B$84,0,$C$1)))/OFFSET(Assumptions!$B$84,0,$C$1)-K$427/K$13,(K$427/K$13-J$427/J$13)/K$2),0))*L$13</f>
        <v>0.62386308930634127</v>
      </c>
      <c r="M427" s="6">
        <f ca="1">(L$427/L$13+ IF(M$2&gt;0,M$2*IF(M$6=OFFSET(Assumptions!$B$8,0,$C$1),SUMPRODUCT(OFFSET(L$427,0,0,1,-OFFSET(Assumptions!$B$84,0,$C$1)),OFFSET(L$15,0,0,1,-OFFSET(Assumptions!$B$84,0,$C$1)))/OFFSET(Assumptions!$B$84,0,$C$1)-L$427/L$13,(L$427/L$13-K$427/K$13)/L$2),0))*M$13</f>
        <v>0.66537091027292972</v>
      </c>
      <c r="N427" s="6">
        <f ca="1">(M$427/M$13+ IF(N$2&gt;0,N$2*IF(N$6=OFFSET(Assumptions!$B$8,0,$C$1),SUMPRODUCT(OFFSET(M$427,0,0,1,-OFFSET(Assumptions!$B$84,0,$C$1)),OFFSET(M$15,0,0,1,-OFFSET(Assumptions!$B$84,0,$C$1)))/OFFSET(Assumptions!$B$84,0,$C$1)-M$427/M$13,(M$427/M$13-L$427/L$13)/M$2),0))*N$13</f>
        <v>0.70525188604083833</v>
      </c>
      <c r="O427" s="6">
        <f ca="1">(N$427/N$13+ IF(O$2&gt;0,O$2*IF(O$6=OFFSET(Assumptions!$B$8,0,$C$1),SUMPRODUCT(OFFSET(N$427,0,0,1,-OFFSET(Assumptions!$B$84,0,$C$1)),OFFSET(N$15,0,0,1,-OFFSET(Assumptions!$B$84,0,$C$1)))/OFFSET(Assumptions!$B$84,0,$C$1)-N$427/N$13,(N$427/N$13-M$427/M$13)/N$2),0))*O$13</f>
        <v>0.74322712995927609</v>
      </c>
      <c r="P427" s="6">
        <f ca="1">(O$427/O$13+ IF(P$2&gt;0,P$2*IF(P$6=OFFSET(Assumptions!$B$8,0,$C$1),SUMPRODUCT(OFFSET(O$427,0,0,1,-OFFSET(Assumptions!$B$84,0,$C$1)),OFFSET(O$15,0,0,1,-OFFSET(Assumptions!$B$84,0,$C$1)))/OFFSET(Assumptions!$B$84,0,$C$1)-O$427/O$13,(O$427/O$13-N$427/N$13)/O$2),0))*P$13</f>
        <v>0.779152748776899</v>
      </c>
      <c r="Q427" s="6">
        <f ca="1">(P$427/P$13+ IF(Q$2&gt;0,Q$2*IF(Q$6=OFFSET(Assumptions!$B$8,0,$C$1),SUMPRODUCT(OFFSET(P$427,0,0,1,-OFFSET(Assumptions!$B$84,0,$C$1)),OFFSET(P$15,0,0,1,-OFFSET(Assumptions!$B$84,0,$C$1)))/OFFSET(Assumptions!$B$84,0,$C$1)-P$427/P$13,(P$427/P$13-O$427/O$13)/P$2),0))*Q$13</f>
        <v>0.81263260170638507</v>
      </c>
      <c r="R427" s="6">
        <f ca="1">(Q$427/Q$13+ IF(R$2&gt;0,R$2*IF(R$6=OFFSET(Assumptions!$B$8,0,$C$1),SUMPRODUCT(OFFSET(Q$427,0,0,1,-OFFSET(Assumptions!$B$84,0,$C$1)),OFFSET(Q$15,0,0,1,-OFFSET(Assumptions!$B$84,0,$C$1)))/OFFSET(Assumptions!$B$84,0,$C$1)-Q$427/Q$13,(Q$427/Q$13-P$427/P$13)/Q$2),0))*R$13</f>
        <v>0.84716937196198749</v>
      </c>
      <c r="S427" s="6">
        <f ca="1">(R$427/R$13+ IF(S$2&gt;0,S$2*IF(S$6=OFFSET(Assumptions!$B$8,0,$C$1),SUMPRODUCT(OFFSET(R$427,0,0,1,-OFFSET(Assumptions!$B$84,0,$C$1)),OFFSET(R$15,0,0,1,-OFFSET(Assumptions!$B$84,0,$C$1)))/OFFSET(Assumptions!$B$84,0,$C$1)-R$427/R$13,(R$427/R$13-Q$427/Q$13)/R$2),0))*S$13</f>
        <v>0.88286591985187779</v>
      </c>
      <c r="T427" s="6">
        <f ca="1">(S$427/S$13+ IF(T$2&gt;0,T$2*IF(T$6=OFFSET(Assumptions!$B$8,0,$C$1),SUMPRODUCT(OFFSET(S$427,0,0,1,-OFFSET(Assumptions!$B$84,0,$C$1)),OFFSET(S$15,0,0,1,-OFFSET(Assumptions!$B$84,0,$C$1)))/OFFSET(Assumptions!$B$84,0,$C$1)-S$427/S$13,(S$427/S$13-R$427/R$13)/S$2),0))*T$13</f>
        <v>0.91975472848752882</v>
      </c>
      <c r="U427" s="6">
        <f ca="1">(T$427/T$13+ IF(U$2&gt;0,U$2*IF(U$6=OFFSET(Assumptions!$B$8,0,$C$1),SUMPRODUCT(OFFSET(T$427,0,0,1,-OFFSET(Assumptions!$B$84,0,$C$1)),OFFSET(T$15,0,0,1,-OFFSET(Assumptions!$B$84,0,$C$1)))/OFFSET(Assumptions!$B$84,0,$C$1)-T$427/T$13,(T$427/T$13-S$427/S$13)/T$2),0))*U$13</f>
        <v>0.9579473105734384</v>
      </c>
    </row>
    <row r="428" spans="1:21" x14ac:dyDescent="0.2">
      <c r="A428" s="1" t="s">
        <v>483</v>
      </c>
      <c r="B428" s="4" t="str">
        <f>$B$37</f>
        <v>From Fiscal</v>
      </c>
      <c r="D428" s="14">
        <f>SUM('Fiscal Forecasts'!D$337:D$338)</f>
        <v>1.21</v>
      </c>
      <c r="E428" s="14">
        <f>SUM('Fiscal Forecasts'!E$337:E$338)</f>
        <v>1.3009999999999999</v>
      </c>
      <c r="F428" s="14">
        <f>SUM('Fiscal Forecasts'!F$337:F$338)</f>
        <v>1.5029999999999999</v>
      </c>
      <c r="G428" s="15">
        <f>SUM('Fiscal Forecasts'!G$337:G$338)</f>
        <v>1.5510000000000002</v>
      </c>
      <c r="H428" s="15">
        <f>SUM('Fiscal Forecasts'!H$337:H$338)</f>
        <v>1.5629999999999999</v>
      </c>
      <c r="I428" s="15">
        <f>SUM('Fiscal Forecasts'!I$337:I$338)</f>
        <v>1.5720000000000001</v>
      </c>
      <c r="J428" s="15">
        <f>SUM('Fiscal Forecasts'!J$337:J$338)</f>
        <v>1.603</v>
      </c>
      <c r="K428" s="15">
        <f>SUM('Fiscal Forecasts'!K$337:K$338)</f>
        <v>1.6179999999999999</v>
      </c>
      <c r="L428" s="6">
        <f ca="1">(K$428/K$13+ IF(L$2&gt;0,L$2*IF(L$6=OFFSET(Assumptions!$B$8,0,$C$1),SUMPRODUCT(OFFSET(K$428,0,0,1,-OFFSET(Assumptions!$B$84,0,$C$1)),OFFSET(K$15,0,0,1,-OFFSET(Assumptions!$B$84,0,$C$1)))/OFFSET(Assumptions!$B$84,0,$C$1)-K$428/K$13,(K$428/K$13-J$428/J$13)/K$2),0))*L$13</f>
        <v>1.7122221020934671</v>
      </c>
      <c r="M428" s="6">
        <f ca="1">(L$428/L$13+ IF(M$2&gt;0,M$2*IF(M$6=OFFSET(Assumptions!$B$8,0,$C$1),SUMPRODUCT(OFFSET(L$428,0,0,1,-OFFSET(Assumptions!$B$84,0,$C$1)),OFFSET(L$15,0,0,1,-OFFSET(Assumptions!$B$84,0,$C$1)))/OFFSET(Assumptions!$B$84,0,$C$1)-L$428/L$13,(L$428/L$13-K$428/K$13)/L$2),0))*M$13</f>
        <v>1.8056353015932753</v>
      </c>
      <c r="N428" s="6">
        <f ca="1">(M$428/M$13+ IF(N$2&gt;0,N$2*IF(N$6=OFFSET(Assumptions!$B$8,0,$C$1),SUMPRODUCT(OFFSET(M$428,0,0,1,-OFFSET(Assumptions!$B$84,0,$C$1)),OFFSET(M$15,0,0,1,-OFFSET(Assumptions!$B$84,0,$C$1)))/OFFSET(Assumptions!$B$84,0,$C$1)-M$428/M$13,(M$428/M$13-L$428/L$13)/M$2),0))*N$13</f>
        <v>1.8981112216510165</v>
      </c>
      <c r="O428" s="6">
        <f ca="1">(N$428/N$13+ IF(O$2&gt;0,O$2*IF(O$6=OFFSET(Assumptions!$B$8,0,$C$1),SUMPRODUCT(OFFSET(N$428,0,0,1,-OFFSET(Assumptions!$B$84,0,$C$1)),OFFSET(N$15,0,0,1,-OFFSET(Assumptions!$B$84,0,$C$1)))/OFFSET(Assumptions!$B$84,0,$C$1)-N$428/N$13,(N$428/N$13-M$428/M$13)/N$2),0))*O$13</f>
        <v>1.9895171178805882</v>
      </c>
      <c r="P428" s="6">
        <f ca="1">(O$428/O$13+ IF(P$2&gt;0,P$2*IF(P$6=OFFSET(Assumptions!$B$8,0,$C$1),SUMPRODUCT(OFFSET(O$428,0,0,1,-OFFSET(Assumptions!$B$84,0,$C$1)),OFFSET(O$15,0,0,1,-OFFSET(Assumptions!$B$84,0,$C$1)))/OFFSET(Assumptions!$B$84,0,$C$1)-O$428/O$13,(O$428/O$13-N$428/N$13)/O$2),0))*P$13</f>
        <v>2.0801047723615054</v>
      </c>
      <c r="Q428" s="6">
        <f ca="1">(P$428/P$13+ IF(Q$2&gt;0,Q$2*IF(Q$6=OFFSET(Assumptions!$B$8,0,$C$1),SUMPRODUCT(OFFSET(P$428,0,0,1,-OFFSET(Assumptions!$B$84,0,$C$1)),OFFSET(P$15,0,0,1,-OFFSET(Assumptions!$B$84,0,$C$1)))/OFFSET(Assumptions!$B$84,0,$C$1)-P$428/P$13,(P$428/P$13-O$428/O$13)/P$2),0))*Q$13</f>
        <v>2.1694859649016172</v>
      </c>
      <c r="R428" s="6">
        <f ca="1">(Q$428/Q$13+ IF(R$2&gt;0,R$2*IF(R$6=OFFSET(Assumptions!$B$8,0,$C$1),SUMPRODUCT(OFFSET(Q$428,0,0,1,-OFFSET(Assumptions!$B$84,0,$C$1)),OFFSET(Q$15,0,0,1,-OFFSET(Assumptions!$B$84,0,$C$1)))/OFFSET(Assumptions!$B$84,0,$C$1)-Q$428/Q$13,(Q$428/Q$13-P$428/P$13)/Q$2),0))*R$13</f>
        <v>2.2616888105482569</v>
      </c>
      <c r="S428" s="6">
        <f ca="1">(R$428/R$13+ IF(S$2&gt;0,S$2*IF(S$6=OFFSET(Assumptions!$B$8,0,$C$1),SUMPRODUCT(OFFSET(R$428,0,0,1,-OFFSET(Assumptions!$B$84,0,$C$1)),OFFSET(R$15,0,0,1,-OFFSET(Assumptions!$B$84,0,$C$1)))/OFFSET(Assumptions!$B$84,0,$C$1)-R$428/R$13,(R$428/R$13-Q$428/Q$13)/R$2),0))*S$13</f>
        <v>2.3569879155557825</v>
      </c>
      <c r="T428" s="6">
        <f ca="1">(S$428/S$13+ IF(T$2&gt;0,T$2*IF(T$6=OFFSET(Assumptions!$B$8,0,$C$1),SUMPRODUCT(OFFSET(S$428,0,0,1,-OFFSET(Assumptions!$B$84,0,$C$1)),OFFSET(S$15,0,0,1,-OFFSET(Assumptions!$B$84,0,$C$1)))/OFFSET(Assumptions!$B$84,0,$C$1)-S$428/S$13,(S$428/S$13-R$428/R$13)/S$2),0))*T$13</f>
        <v>2.4554700001151986</v>
      </c>
      <c r="U428" s="6">
        <f ca="1">(T$428/T$13+ IF(U$2&gt;0,U$2*IF(U$6=OFFSET(Assumptions!$B$8,0,$C$1),SUMPRODUCT(OFFSET(T$428,0,0,1,-OFFSET(Assumptions!$B$84,0,$C$1)),OFFSET(T$15,0,0,1,-OFFSET(Assumptions!$B$84,0,$C$1)))/OFFSET(Assumptions!$B$84,0,$C$1)-T$428/T$13,(T$428/T$13-S$428/S$13)/T$2),0))*U$13</f>
        <v>2.557432769790875</v>
      </c>
    </row>
    <row r="429" spans="1:21" ht="15" x14ac:dyDescent="0.25">
      <c r="A429" s="2" t="s">
        <v>606</v>
      </c>
      <c r="B429" s="4"/>
      <c r="D429" s="34">
        <f t="shared" ref="D429:U429" si="210">SUM(D$426:D$428)</f>
        <v>3.056</v>
      </c>
      <c r="E429" s="34">
        <f t="shared" si="210"/>
        <v>3.1959999999999997</v>
      </c>
      <c r="F429" s="34">
        <f t="shared" si="210"/>
        <v>3.5529999999999999</v>
      </c>
      <c r="G429" s="33">
        <f t="shared" si="210"/>
        <v>3.8079999999999998</v>
      </c>
      <c r="H429" s="33">
        <f t="shared" si="210"/>
        <v>3.9799999999999995</v>
      </c>
      <c r="I429" s="33">
        <f t="shared" si="210"/>
        <v>4.0760000000000005</v>
      </c>
      <c r="J429" s="33">
        <f t="shared" si="210"/>
        <v>4.157</v>
      </c>
      <c r="K429" s="33">
        <f t="shared" si="210"/>
        <v>4.0749999999999993</v>
      </c>
      <c r="L429" s="37">
        <f t="shared" ca="1" si="210"/>
        <v>4.3417217891030155</v>
      </c>
      <c r="M429" s="37">
        <f t="shared" ca="1" si="210"/>
        <v>4.6029369580001847</v>
      </c>
      <c r="N429" s="37">
        <f t="shared" ca="1" si="210"/>
        <v>4.8575875248930611</v>
      </c>
      <c r="O429" s="37">
        <f t="shared" ca="1" si="210"/>
        <v>5.1045858011643181</v>
      </c>
      <c r="P429" s="37">
        <f t="shared" ca="1" si="210"/>
        <v>5.3438024943694575</v>
      </c>
      <c r="Q429" s="37">
        <f t="shared" ca="1" si="210"/>
        <v>5.5734233509685778</v>
      </c>
      <c r="R429" s="37">
        <f t="shared" ca="1" si="210"/>
        <v>5.8102930524861156</v>
      </c>
      <c r="S429" s="37">
        <f t="shared" ca="1" si="210"/>
        <v>6.0551170641498349</v>
      </c>
      <c r="T429" s="37">
        <f t="shared" ca="1" si="210"/>
        <v>6.308118170686333</v>
      </c>
      <c r="U429" s="37">
        <f t="shared" ca="1" si="210"/>
        <v>6.570061179598869</v>
      </c>
    </row>
    <row r="430" spans="1:21" ht="15" x14ac:dyDescent="0.25">
      <c r="A430" s="2"/>
      <c r="B430" s="4"/>
      <c r="D430" s="46"/>
      <c r="E430" s="46"/>
      <c r="F430" s="46"/>
      <c r="G430" s="47"/>
      <c r="H430" s="47"/>
      <c r="I430" s="47"/>
      <c r="J430" s="47"/>
      <c r="K430" s="47"/>
      <c r="L430" s="48"/>
      <c r="M430" s="48"/>
      <c r="N430" s="48"/>
      <c r="O430" s="48"/>
      <c r="P430" s="48"/>
      <c r="Q430" s="48"/>
      <c r="R430" s="48"/>
      <c r="S430" s="48"/>
      <c r="T430" s="48"/>
      <c r="U430" s="48"/>
    </row>
    <row r="431" spans="1:21" ht="15" x14ac:dyDescent="0.25">
      <c r="A431" s="18" t="s">
        <v>324</v>
      </c>
      <c r="B431" s="4"/>
      <c r="D431" s="46"/>
      <c r="E431" s="46"/>
      <c r="F431" s="46"/>
      <c r="G431" s="47"/>
      <c r="H431" s="47"/>
      <c r="I431" s="47"/>
      <c r="J431" s="47"/>
      <c r="K431" s="47"/>
    </row>
    <row r="432" spans="1:21" x14ac:dyDescent="0.2">
      <c r="A432" s="1" t="s">
        <v>319</v>
      </c>
      <c r="B432" s="4" t="str">
        <f t="shared" ref="B432:B437" si="211">$B$37</f>
        <v>From Fiscal</v>
      </c>
      <c r="D432" s="14">
        <f>'Fiscal Forecasts'!D$276</f>
        <v>0</v>
      </c>
      <c r="E432" s="14">
        <f>'Fiscal Forecasts'!E$276</f>
        <v>0</v>
      </c>
      <c r="F432" s="14">
        <f>'Fiscal Forecasts'!F$276</f>
        <v>0</v>
      </c>
      <c r="G432" s="15">
        <f>'Fiscal Forecasts'!G$276</f>
        <v>0.185</v>
      </c>
      <c r="H432" s="15">
        <f>'Fiscal Forecasts'!H$276</f>
        <v>1.1479999999999999</v>
      </c>
      <c r="I432" s="15">
        <f>'Fiscal Forecasts'!I$276</f>
        <v>0.442</v>
      </c>
      <c r="J432" s="15">
        <f>'Fiscal Forecasts'!J$276</f>
        <v>0.27500000000000002</v>
      </c>
      <c r="K432" s="15">
        <f>'Fiscal Forecasts'!K$276</f>
        <v>3.2000000000000001E-2</v>
      </c>
      <c r="L432" s="6">
        <f ca="1">IF(L$6=OFFSET(Assumptions!$B$8,0,$C$1),OFFSET(L$440,0,-6)-SUM(OFFSET(L$432,0,-5,1,5)),0)</f>
        <v>0</v>
      </c>
      <c r="M432" s="6">
        <f ca="1">IF(M$6=OFFSET(Assumptions!$B$8,0,$C$1),OFFSET(M$440,0,-6)-SUM(OFFSET(M$432,0,-5,1,5)),0)</f>
        <v>0</v>
      </c>
      <c r="N432" s="6">
        <f ca="1">IF(N$6=OFFSET(Assumptions!$B$8,0,$C$1),OFFSET(N$440,0,-6)-SUM(OFFSET(N$432,0,-5,1,5)),0)</f>
        <v>0</v>
      </c>
      <c r="O432" s="6">
        <f ca="1">IF(O$6=OFFSET(Assumptions!$B$8,0,$C$1),OFFSET(O$440,0,-6)-SUM(OFFSET(O$432,0,-5,1,5)),0)</f>
        <v>0</v>
      </c>
      <c r="P432" s="6">
        <f ca="1">IF(P$6=OFFSET(Assumptions!$B$8,0,$C$1),OFFSET(P$440,0,-6)-SUM(OFFSET(P$432,0,-5,1,5)),0)</f>
        <v>0</v>
      </c>
      <c r="Q432" s="6">
        <f ca="1">IF(Q$6=OFFSET(Assumptions!$B$8,0,$C$1),OFFSET(Q$440,0,-6)-SUM(OFFSET(Q$432,0,-5,1,5)),0)</f>
        <v>0</v>
      </c>
      <c r="R432" s="6">
        <f ca="1">IF(R$6=OFFSET(Assumptions!$B$8,0,$C$1),OFFSET(R$440,0,-6)-SUM(OFFSET(R$432,0,-5,1,5)),0)</f>
        <v>0</v>
      </c>
      <c r="S432" s="6">
        <f ca="1">IF(S$6=OFFSET(Assumptions!$B$8,0,$C$1),OFFSET(S$440,0,-6)-SUM(OFFSET(S$432,0,-5,1,5)),0)</f>
        <v>0</v>
      </c>
      <c r="T432" s="6">
        <f ca="1">IF(T$6=OFFSET(Assumptions!$B$8,0,$C$1),OFFSET(T$440,0,-6)-SUM(OFFSET(T$432,0,-5,1,5)),0)</f>
        <v>0</v>
      </c>
      <c r="U432" s="6">
        <f ca="1">IF(U$6=OFFSET(Assumptions!$B$8,0,$C$1),OFFSET(U$440,0,-6)-SUM(OFFSET(U$432,0,-5,1,5)),0)</f>
        <v>0</v>
      </c>
    </row>
    <row r="433" spans="1:21" x14ac:dyDescent="0.2">
      <c r="A433" s="1" t="s">
        <v>607</v>
      </c>
      <c r="B433" s="4" t="str">
        <f t="shared" si="211"/>
        <v>From Fiscal</v>
      </c>
      <c r="D433" s="14">
        <f>'Fiscal Forecasts'!D$277</f>
        <v>0</v>
      </c>
      <c r="E433" s="14">
        <f>'Fiscal Forecasts'!E$277</f>
        <v>0</v>
      </c>
      <c r="F433" s="14">
        <f>'Fiscal Forecasts'!F$277</f>
        <v>0</v>
      </c>
      <c r="G433" s="15">
        <f>'Fiscal Forecasts'!G$277+IF(AND($C$2="Yes",G$6='Fiscal Forecast Adjuster'!$C$5),'Fiscal Forecast Adjuster'!$C$28/1000,0)</f>
        <v>0</v>
      </c>
      <c r="H433" s="15">
        <f>'Fiscal Forecasts'!H$277+IF(AND($C$2="Yes",H$6='Fiscal Forecast Adjuster'!$C$5),'Fiscal Forecast Adjuster'!$C$28/1000,0)</f>
        <v>0</v>
      </c>
      <c r="I433" s="15">
        <f>'Fiscal Forecasts'!I$277+IF(AND($C$2="Yes",I$6='Fiscal Forecast Adjuster'!$C$5),'Fiscal Forecast Adjuster'!$C$28/1000,0)</f>
        <v>0</v>
      </c>
      <c r="J433" s="15">
        <f>'Fiscal Forecasts'!J$277+IF(AND($C$2="Yes",J$6='Fiscal Forecast Adjuster'!$C$5),'Fiscal Forecast Adjuster'!$C$28/1000,0)</f>
        <v>0</v>
      </c>
      <c r="K433" s="15">
        <f>'Fiscal Forecasts'!K$277+IF(AND($C$2="Yes",K$6='Fiscal Forecast Adjuster'!$C$5),'Fiscal Forecast Adjuster'!$C$28/1000,0)</f>
        <v>0</v>
      </c>
      <c r="L433" s="6">
        <f ca="1">IF(L$6=OFFSET(Assumptions!$B$8,0,$C$1),OFFSET(L$440,0,-5)-SUM(OFFSET(L$433,0,-5,1,5)),0)</f>
        <v>0</v>
      </c>
      <c r="M433" s="6">
        <f ca="1">IF(M$6=OFFSET(Assumptions!$B$8,0,$C$1),OFFSET(M$440,0,-5)-SUM(OFFSET(M$433,0,-5,1,5)),0)</f>
        <v>0</v>
      </c>
      <c r="N433" s="6">
        <f ca="1">IF(N$6=OFFSET(Assumptions!$B$8,0,$C$1),OFFSET(N$440,0,-5)-SUM(OFFSET(N$433,0,-5,1,5)),0)</f>
        <v>0</v>
      </c>
      <c r="O433" s="6">
        <f ca="1">IF(O$6=OFFSET(Assumptions!$B$8,0,$C$1),OFFSET(O$440,0,-5)-SUM(OFFSET(O$433,0,-5,1,5)),0)</f>
        <v>0</v>
      </c>
      <c r="P433" s="6">
        <f ca="1">IF(P$6=OFFSET(Assumptions!$B$8,0,$C$1),OFFSET(P$440,0,-5)-SUM(OFFSET(P$433,0,-5,1,5)),0)</f>
        <v>0</v>
      </c>
      <c r="Q433" s="6">
        <f ca="1">IF(Q$6=OFFSET(Assumptions!$B$8,0,$C$1),OFFSET(Q$440,0,-5)-SUM(OFFSET(Q$433,0,-5,1,5)),0)</f>
        <v>0</v>
      </c>
      <c r="R433" s="6">
        <f ca="1">IF(R$6=OFFSET(Assumptions!$B$8,0,$C$1),OFFSET(R$440,0,-5)-SUM(OFFSET(R$433,0,-5,1,5)),0)</f>
        <v>0</v>
      </c>
      <c r="S433" s="6">
        <f ca="1">IF(S$6=OFFSET(Assumptions!$B$8,0,$C$1),OFFSET(S$440,0,-5)-SUM(OFFSET(S$433,0,-5,1,5)),0)</f>
        <v>0</v>
      </c>
      <c r="T433" s="6">
        <f ca="1">IF(T$6=OFFSET(Assumptions!$B$8,0,$C$1),OFFSET(T$440,0,-5)-SUM(OFFSET(T$433,0,-5,1,5)),0)</f>
        <v>0</v>
      </c>
      <c r="U433" s="6">
        <f ca="1">IF(U$6=OFFSET(Assumptions!$B$8,0,$C$1),OFFSET(U$440,0,-5)-SUM(OFFSET(U$433,0,-5,1,5)),0)</f>
        <v>0</v>
      </c>
    </row>
    <row r="434" spans="1:21" x14ac:dyDescent="0.2">
      <c r="A434" s="1" t="s">
        <v>608</v>
      </c>
      <c r="B434" s="4" t="str">
        <f t="shared" si="211"/>
        <v>From Fiscal</v>
      </c>
      <c r="D434" s="14">
        <f>'Fiscal Forecasts'!D$278</f>
        <v>0</v>
      </c>
      <c r="E434" s="14">
        <f>'Fiscal Forecasts'!E$278</f>
        <v>0</v>
      </c>
      <c r="F434" s="14">
        <f>'Fiscal Forecasts'!F$278</f>
        <v>0</v>
      </c>
      <c r="G434" s="15">
        <f>'Fiscal Forecasts'!G$278 +IF(AND($C$2="Yes",G$6='Fiscal Forecast Adjuster'!$D$5),'Fiscal Forecast Adjuster'!$D$28/1000,0)</f>
        <v>0</v>
      </c>
      <c r="H434" s="15">
        <f>'Fiscal Forecasts'!H$278 +IF(AND($C$2="Yes",H$6='Fiscal Forecast Adjuster'!$D$5),'Fiscal Forecast Adjuster'!$D$28/1000,0)</f>
        <v>0.11899999999999999</v>
      </c>
      <c r="I434" s="15">
        <f>'Fiscal Forecasts'!I$278 +IF(AND($C$2="Yes",I$6='Fiscal Forecast Adjuster'!$D$5),'Fiscal Forecast Adjuster'!$D$28/1000,0)</f>
        <v>0.98099999999999998</v>
      </c>
      <c r="J434" s="15">
        <f>'Fiscal Forecasts'!J$278 +IF(AND($C$2="Yes",J$6='Fiscal Forecast Adjuster'!$D$5),'Fiscal Forecast Adjuster'!$D$28/1000,0)</f>
        <v>0.98099999999999998</v>
      </c>
      <c r="K434" s="15">
        <f>'Fiscal Forecasts'!K$278 +IF(AND($C$2="Yes",K$6='Fiscal Forecast Adjuster'!$D$5),'Fiscal Forecast Adjuster'!$D$28/1000,0)</f>
        <v>0.59499999999999997</v>
      </c>
      <c r="L434" s="6">
        <f ca="1">IF(L$6=OFFSET(Assumptions!$B$8,0,$C$1),OFFSET(L$440,0,-4)-SUM(OFFSET(L$434,0,-5,1,5)),0)</f>
        <v>0.29699999999999971</v>
      </c>
      <c r="M434" s="6">
        <f ca="1">IF(M$6=OFFSET(Assumptions!$B$8,0,$C$1),OFFSET(M$440,0,-4)-SUM(OFFSET(M$434,0,-5,1,5)),0)</f>
        <v>0</v>
      </c>
      <c r="N434" s="6">
        <f ca="1">IF(N$6=OFFSET(Assumptions!$B$8,0,$C$1),OFFSET(N$440,0,-4)-SUM(OFFSET(N$434,0,-5,1,5)),0)</f>
        <v>0</v>
      </c>
      <c r="O434" s="6">
        <f ca="1">IF(O$6=OFFSET(Assumptions!$B$8,0,$C$1),OFFSET(O$440,0,-4)-SUM(OFFSET(O$434,0,-5,1,5)),0)</f>
        <v>0</v>
      </c>
      <c r="P434" s="6">
        <f ca="1">IF(P$6=OFFSET(Assumptions!$B$8,0,$C$1),OFFSET(P$440,0,-4)-SUM(OFFSET(P$434,0,-5,1,5)),0)</f>
        <v>0</v>
      </c>
      <c r="Q434" s="6">
        <f ca="1">IF(Q$6=OFFSET(Assumptions!$B$8,0,$C$1),OFFSET(Q$440,0,-4)-SUM(OFFSET(Q$434,0,-5,1,5)),0)</f>
        <v>0</v>
      </c>
      <c r="R434" s="6">
        <f ca="1">IF(R$6=OFFSET(Assumptions!$B$8,0,$C$1),OFFSET(R$440,0,-4)-SUM(OFFSET(R$434,0,-5,1,5)),0)</f>
        <v>0</v>
      </c>
      <c r="S434" s="6">
        <f ca="1">IF(S$6=OFFSET(Assumptions!$B$8,0,$C$1),OFFSET(S$440,0,-4)-SUM(OFFSET(S$434,0,-5,1,5)),0)</f>
        <v>0</v>
      </c>
      <c r="T434" s="6">
        <f ca="1">IF(T$6=OFFSET(Assumptions!$B$8,0,$C$1),OFFSET(T$440,0,-4)-SUM(OFFSET(T$434,0,-5,1,5)),0)</f>
        <v>0</v>
      </c>
      <c r="U434" s="6">
        <f ca="1">IF(U$6=OFFSET(Assumptions!$B$8,0,$C$1),OFFSET(U$440,0,-4)-SUM(OFFSET(U$434,0,-5,1,5)),0)</f>
        <v>0</v>
      </c>
    </row>
    <row r="435" spans="1:21" x14ac:dyDescent="0.2">
      <c r="A435" s="1" t="s">
        <v>609</v>
      </c>
      <c r="B435" s="4" t="str">
        <f t="shared" si="211"/>
        <v>From Fiscal</v>
      </c>
      <c r="D435" s="14">
        <f>'Fiscal Forecasts'!D$279</f>
        <v>0</v>
      </c>
      <c r="E435" s="14">
        <f>'Fiscal Forecasts'!E$279</f>
        <v>0</v>
      </c>
      <c r="F435" s="14">
        <f>'Fiscal Forecasts'!F$279</f>
        <v>0</v>
      </c>
      <c r="G435" s="15">
        <f>'Fiscal Forecasts'!G$279 +IF(AND($C$2="Yes",G$6='Fiscal Forecast Adjuster'!$E$5),'Fiscal Forecast Adjuster'!$E$28/1000,0)</f>
        <v>0</v>
      </c>
      <c r="H435" s="15">
        <f>'Fiscal Forecasts'!H$279 +IF(AND($C$2="Yes",H$6='Fiscal Forecast Adjuster'!$E$5),'Fiscal Forecast Adjuster'!$E$28/1000,0)</f>
        <v>0</v>
      </c>
      <c r="I435" s="15">
        <f>'Fiscal Forecasts'!I$279 +IF(AND($C$2="Yes",I$6='Fiscal Forecast Adjuster'!$E$5),'Fiscal Forecast Adjuster'!$E$28/1000,0)</f>
        <v>0.11899999999999999</v>
      </c>
      <c r="J435" s="15">
        <f>'Fiscal Forecasts'!J$279 +IF(AND($C$2="Yes",J$6='Fiscal Forecast Adjuster'!$E$5),'Fiscal Forecast Adjuster'!$E$28/1000,0)</f>
        <v>0.98099999999999998</v>
      </c>
      <c r="K435" s="15">
        <f>'Fiscal Forecasts'!K$279 +IF(AND($C$2="Yes",K$6='Fiscal Forecast Adjuster'!$E$5),'Fiscal Forecast Adjuster'!$E$28/1000,0)</f>
        <v>0.98099999999999998</v>
      </c>
      <c r="L435" s="6">
        <f ca="1">IF(L$6=OFFSET(Assumptions!$B$8,0,$C$1),(OFFSET(L$440,0,-3)-SUM(OFFSET(L$435,0,-5,1,5)))/2,IF(K$6=OFFSET(Assumptions!$B$8,0,$C$1),K$435,0))</f>
        <v>0.44599999999999995</v>
      </c>
      <c r="M435" s="6">
        <f ca="1">IF(M$6=OFFSET(Assumptions!$B$8,0,$C$1),(OFFSET(M$440,0,-3)-SUM(OFFSET(M$435,0,-5,1,5)))/2,IF(L$6=OFFSET(Assumptions!$B$8,0,$C$1),L$435,0))</f>
        <v>0.44599999999999995</v>
      </c>
      <c r="N435" s="6">
        <f ca="1">IF(N$6=OFFSET(Assumptions!$B$8,0,$C$1),(OFFSET(N$440,0,-3)-SUM(OFFSET(N$435,0,-5,1,5)))/2,IF(M$6=OFFSET(Assumptions!$B$8,0,$C$1),M$435,0))</f>
        <v>0</v>
      </c>
      <c r="O435" s="6">
        <f ca="1">IF(O$6=OFFSET(Assumptions!$B$8,0,$C$1),(OFFSET(O$440,0,-3)-SUM(OFFSET(O$435,0,-5,1,5)))/2,IF(N$6=OFFSET(Assumptions!$B$8,0,$C$1),N$435,0))</f>
        <v>0</v>
      </c>
      <c r="P435" s="6">
        <f ca="1">IF(P$6=OFFSET(Assumptions!$B$8,0,$C$1),(OFFSET(P$440,0,-3)-SUM(OFFSET(P$435,0,-5,1,5)))/2,IF(O$6=OFFSET(Assumptions!$B$8,0,$C$1),O$435,0))</f>
        <v>0</v>
      </c>
      <c r="Q435" s="6">
        <f ca="1">IF(Q$6=OFFSET(Assumptions!$B$8,0,$C$1),(OFFSET(Q$440,0,-3)-SUM(OFFSET(Q$435,0,-5,1,5)))/2,IF(P$6=OFFSET(Assumptions!$B$8,0,$C$1),P$435,0))</f>
        <v>0</v>
      </c>
      <c r="R435" s="6">
        <f ca="1">IF(R$6=OFFSET(Assumptions!$B$8,0,$C$1),(OFFSET(R$440,0,-3)-SUM(OFFSET(R$435,0,-5,1,5)))/2,IF(Q$6=OFFSET(Assumptions!$B$8,0,$C$1),Q$435,0))</f>
        <v>0</v>
      </c>
      <c r="S435" s="6">
        <f ca="1">IF(S$6=OFFSET(Assumptions!$B$8,0,$C$1),(OFFSET(S$440,0,-3)-SUM(OFFSET(S$435,0,-5,1,5)))/2,IF(R$6=OFFSET(Assumptions!$B$8,0,$C$1),R$435,0))</f>
        <v>0</v>
      </c>
      <c r="T435" s="6">
        <f ca="1">IF(T$6=OFFSET(Assumptions!$B$8,0,$C$1),(OFFSET(T$440,0,-3)-SUM(OFFSET(T$435,0,-5,1,5)))/2,IF(S$6=OFFSET(Assumptions!$B$8,0,$C$1),S$435,0))</f>
        <v>0</v>
      </c>
      <c r="U435" s="6">
        <f ca="1">IF(U$6=OFFSET(Assumptions!$B$8,0,$C$1),(OFFSET(U$440,0,-3)-SUM(OFFSET(U$435,0,-5,1,5)))/2,IF(T$6=OFFSET(Assumptions!$B$8,0,$C$1),T$435,0))</f>
        <v>0</v>
      </c>
    </row>
    <row r="436" spans="1:21" x14ac:dyDescent="0.2">
      <c r="A436" s="1" t="s">
        <v>610</v>
      </c>
      <c r="B436" s="4" t="str">
        <f t="shared" si="211"/>
        <v>From Fiscal</v>
      </c>
      <c r="D436" s="14">
        <f>'Fiscal Forecasts'!D$280</f>
        <v>0</v>
      </c>
      <c r="E436" s="14">
        <f>'Fiscal Forecasts'!E$280</f>
        <v>0</v>
      </c>
      <c r="F436" s="14">
        <f>'Fiscal Forecasts'!F$280</f>
        <v>0</v>
      </c>
      <c r="G436" s="15">
        <f>'Fiscal Forecasts'!G$280 +IF(AND($C$2="Yes",G$6='Fiscal Forecast Adjuster'!$F$5),'Fiscal Forecast Adjuster'!$F$28/1000,0)</f>
        <v>0</v>
      </c>
      <c r="H436" s="15">
        <f>'Fiscal Forecasts'!H$280 +IF(AND($C$2="Yes",H$6='Fiscal Forecast Adjuster'!$F$5),'Fiscal Forecast Adjuster'!$F$28/1000,0)</f>
        <v>0</v>
      </c>
      <c r="I436" s="15">
        <f>'Fiscal Forecasts'!I$280 +IF(AND($C$2="Yes",I$6='Fiscal Forecast Adjuster'!$F$5),'Fiscal Forecast Adjuster'!$F$28/1000,0)</f>
        <v>0</v>
      </c>
      <c r="J436" s="15">
        <f>'Fiscal Forecasts'!J$280 +IF(AND($C$2="Yes",J$6='Fiscal Forecast Adjuster'!$F$5),'Fiscal Forecast Adjuster'!$F$28/1000,0)</f>
        <v>0.12</v>
      </c>
      <c r="K436" s="15">
        <f>'Fiscal Forecasts'!K$280 +IF(AND($C$2="Yes",K$6='Fiscal Forecast Adjuster'!$F$5),'Fiscal Forecast Adjuster'!$F$28/1000,0)</f>
        <v>0.99</v>
      </c>
      <c r="L436" s="6">
        <f ca="1">IF(L$6=OFFSET(Assumptions!$B$8,0,$C$1),(OFFSET(L$440,0,-2)-SUM(OFFSET(L$436,0,-5,1,5)))/3,IF(OR(K$6=OFFSET(Assumptions!$B$8,0,$C$1),J$6=OFFSET(Assumptions!$B$8,0,$C$1)),K$436,0))</f>
        <v>0.63</v>
      </c>
      <c r="M436" s="6">
        <f ca="1">IF(M$6=OFFSET(Assumptions!$B$8,0,$C$1),(OFFSET(M$440,0,-2)-SUM(OFFSET(M$436,0,-5,1,5)))/3,IF(OR(L$6=OFFSET(Assumptions!$B$8,0,$C$1),K$6=OFFSET(Assumptions!$B$8,0,$C$1)),L$436,0))</f>
        <v>0.63</v>
      </c>
      <c r="N436" s="6">
        <f ca="1">IF(N$6=OFFSET(Assumptions!$B$8,0,$C$1),(OFFSET(N$440,0,-2)-SUM(OFFSET(N$436,0,-5,1,5)))/3,IF(OR(M$6=OFFSET(Assumptions!$B$8,0,$C$1),L$6=OFFSET(Assumptions!$B$8,0,$C$1)),M$436,0))</f>
        <v>0.63</v>
      </c>
      <c r="O436" s="6">
        <f ca="1">IF(O$6=OFFSET(Assumptions!$B$8,0,$C$1),(OFFSET(O$440,0,-2)-SUM(OFFSET(O$436,0,-5,1,5)))/3,IF(OR(N$6=OFFSET(Assumptions!$B$8,0,$C$1),M$6=OFFSET(Assumptions!$B$8,0,$C$1)),N$436,0))</f>
        <v>0</v>
      </c>
      <c r="P436" s="6">
        <f ca="1">IF(P$6=OFFSET(Assumptions!$B$8,0,$C$1),(OFFSET(P$440,0,-2)-SUM(OFFSET(P$436,0,-5,1,5)))/3,IF(OR(O$6=OFFSET(Assumptions!$B$8,0,$C$1),N$6=OFFSET(Assumptions!$B$8,0,$C$1)),O$436,0))</f>
        <v>0</v>
      </c>
      <c r="Q436" s="6">
        <f ca="1">IF(Q$6=OFFSET(Assumptions!$B$8,0,$C$1),(OFFSET(Q$440,0,-2)-SUM(OFFSET(Q$436,0,-5,1,5)))/3,IF(OR(P$6=OFFSET(Assumptions!$B$8,0,$C$1),O$6=OFFSET(Assumptions!$B$8,0,$C$1)),P$436,0))</f>
        <v>0</v>
      </c>
      <c r="R436" s="6">
        <f ca="1">IF(R$6=OFFSET(Assumptions!$B$8,0,$C$1),(OFFSET(R$440,0,-2)-SUM(OFFSET(R$436,0,-5,1,5)))/3,IF(OR(Q$6=OFFSET(Assumptions!$B$8,0,$C$1),P$6=OFFSET(Assumptions!$B$8,0,$C$1)),Q$436,0))</f>
        <v>0</v>
      </c>
      <c r="S436" s="6">
        <f ca="1">IF(S$6=OFFSET(Assumptions!$B$8,0,$C$1),(OFFSET(S$440,0,-2)-SUM(OFFSET(S$436,0,-5,1,5)))/3,IF(OR(R$6=OFFSET(Assumptions!$B$8,0,$C$1),Q$6=OFFSET(Assumptions!$B$8,0,$C$1)),R$436,0))</f>
        <v>0</v>
      </c>
      <c r="T436" s="6">
        <f ca="1">IF(T$6=OFFSET(Assumptions!$B$8,0,$C$1),(OFFSET(T$440,0,-2)-SUM(OFFSET(T$436,0,-5,1,5)))/3,IF(OR(S$6=OFFSET(Assumptions!$B$8,0,$C$1),R$6=OFFSET(Assumptions!$B$8,0,$C$1)),S$436,0))</f>
        <v>0</v>
      </c>
      <c r="U436" s="6">
        <f ca="1">IF(U$6=OFFSET(Assumptions!$B$8,0,$C$1),(OFFSET(U$440,0,-2)-SUM(OFFSET(U$436,0,-5,1,5)))/3,IF(OR(T$6=OFFSET(Assumptions!$B$8,0,$C$1),S$6=OFFSET(Assumptions!$B$8,0,$C$1)),T$436,0))</f>
        <v>0</v>
      </c>
    </row>
    <row r="437" spans="1:21" x14ac:dyDescent="0.2">
      <c r="A437" s="1" t="s">
        <v>611</v>
      </c>
      <c r="B437" s="4" t="str">
        <f t="shared" si="211"/>
        <v>From Fiscal</v>
      </c>
      <c r="D437" s="14">
        <f>'Fiscal Forecasts'!D$281</f>
        <v>0</v>
      </c>
      <c r="E437" s="14">
        <f>'Fiscal Forecasts'!E$281</f>
        <v>0</v>
      </c>
      <c r="F437" s="14">
        <f>'Fiscal Forecasts'!F$281</f>
        <v>0</v>
      </c>
      <c r="G437" s="15">
        <f>'Fiscal Forecasts'!G$281 +IF(AND($C$2="Yes",G$6='Fiscal Forecast Adjuster'!$G$5),'Fiscal Forecast Adjuster'!$G$28/1000,0)</f>
        <v>0</v>
      </c>
      <c r="H437" s="15">
        <f>'Fiscal Forecasts'!H$281 +IF(AND($C$2="Yes",H$6='Fiscal Forecast Adjuster'!$G$5),'Fiscal Forecast Adjuster'!$G$28/1000,0)</f>
        <v>0</v>
      </c>
      <c r="I437" s="15">
        <f>'Fiscal Forecasts'!I$281 +IF(AND($C$2="Yes",I$6='Fiscal Forecast Adjuster'!$G$5),'Fiscal Forecast Adjuster'!$G$28/1000,0)</f>
        <v>0</v>
      </c>
      <c r="J437" s="15">
        <f>'Fiscal Forecasts'!J$281 +IF(AND($C$2="Yes",J$6='Fiscal Forecast Adjuster'!$G$5),'Fiscal Forecast Adjuster'!$G$28/1000,0)</f>
        <v>0</v>
      </c>
      <c r="K437" s="15">
        <f>'Fiscal Forecasts'!K$281 +IF(AND($C$2="Yes",K$6='Fiscal Forecast Adjuster'!$G$5),'Fiscal Forecast Adjuster'!$G$28/1000,0)</f>
        <v>0.111</v>
      </c>
      <c r="L437" s="6">
        <f ca="1">IF(L$6=OFFSET(Assumptions!$B$8,0,$C$1),(OFFSET(L$440,0,-1)-SUM(OFFSET(L$437,0,-5,1,5)))/4,IF(OR(K$6=OFFSET(Assumptions!$B$8,0,$C$1),J$6=OFFSET(Assumptions!$B$8,0,$C$1),I$6=OFFSET(Assumptions!$B$8,0,$C$1)),K$437,0))</f>
        <v>0.72224999999999995</v>
      </c>
      <c r="M437" s="6">
        <f ca="1">IF(M$6=OFFSET(Assumptions!$B$8,0,$C$1),(OFFSET(M$440,0,-1)-SUM(OFFSET(M$437,0,-5,1,5)))/4,IF(OR(L$6=OFFSET(Assumptions!$B$8,0,$C$1),K$6=OFFSET(Assumptions!$B$8,0,$C$1),J$6=OFFSET(Assumptions!$B$8,0,$C$1)),L$437,0))</f>
        <v>0.72224999999999995</v>
      </c>
      <c r="N437" s="6">
        <f ca="1">IF(N$6=OFFSET(Assumptions!$B$8,0,$C$1),(OFFSET(N$440,0,-1)-SUM(OFFSET(N$437,0,-5,1,5)))/4,IF(OR(M$6=OFFSET(Assumptions!$B$8,0,$C$1),L$6=OFFSET(Assumptions!$B$8,0,$C$1),K$6=OFFSET(Assumptions!$B$8,0,$C$1)),M$437,0))</f>
        <v>0.72224999999999995</v>
      </c>
      <c r="O437" s="6">
        <f ca="1">IF(O$6=OFFSET(Assumptions!$B$8,0,$C$1),(OFFSET(O$440,0,-1)-SUM(OFFSET(O$437,0,-5,1,5)))/4,IF(OR(N$6=OFFSET(Assumptions!$B$8,0,$C$1),M$6=OFFSET(Assumptions!$B$8,0,$C$1),L$6=OFFSET(Assumptions!$B$8,0,$C$1)),N$437,0))</f>
        <v>0.72224999999999995</v>
      </c>
      <c r="P437" s="6">
        <f ca="1">IF(P$6=OFFSET(Assumptions!$B$8,0,$C$1),(OFFSET(P$440,0,-1)-SUM(OFFSET(P$437,0,-5,1,5)))/4,IF(OR(O$6=OFFSET(Assumptions!$B$8,0,$C$1),N$6=OFFSET(Assumptions!$B$8,0,$C$1),M$6=OFFSET(Assumptions!$B$8,0,$C$1)),O$437,0))</f>
        <v>0</v>
      </c>
      <c r="Q437" s="6">
        <f ca="1">IF(Q$6=OFFSET(Assumptions!$B$8,0,$C$1),(OFFSET(Q$440,0,-1)-SUM(OFFSET(Q$437,0,-5,1,5)))/4,IF(OR(P$6=OFFSET(Assumptions!$B$8,0,$C$1),O$6=OFFSET(Assumptions!$B$8,0,$C$1),N$6=OFFSET(Assumptions!$B$8,0,$C$1)),P$437,0))</f>
        <v>0</v>
      </c>
      <c r="R437" s="6">
        <f ca="1">IF(R$6=OFFSET(Assumptions!$B$8,0,$C$1),(OFFSET(R$440,0,-1)-SUM(OFFSET(R$437,0,-5,1,5)))/4,IF(OR(Q$6=OFFSET(Assumptions!$B$8,0,$C$1),P$6=OFFSET(Assumptions!$B$8,0,$C$1),O$6=OFFSET(Assumptions!$B$8,0,$C$1)),Q$437,0))</f>
        <v>0</v>
      </c>
      <c r="S437" s="6">
        <f ca="1">IF(S$6=OFFSET(Assumptions!$B$8,0,$C$1),(OFFSET(S$440,0,-1)-SUM(OFFSET(S$437,0,-5,1,5)))/4,IF(OR(R$6=OFFSET(Assumptions!$B$8,0,$C$1),Q$6=OFFSET(Assumptions!$B$8,0,$C$1),P$6=OFFSET(Assumptions!$B$8,0,$C$1)),R$437,0))</f>
        <v>0</v>
      </c>
      <c r="T437" s="6">
        <f ca="1">IF(T$6=OFFSET(Assumptions!$B$8,0,$C$1),(OFFSET(T$440,0,-1)-SUM(OFFSET(T$437,0,-5,1,5)))/4,IF(OR(S$6=OFFSET(Assumptions!$B$8,0,$C$1),R$6=OFFSET(Assumptions!$B$8,0,$C$1),Q$6=OFFSET(Assumptions!$B$8,0,$C$1)),S$437,0))</f>
        <v>0</v>
      </c>
      <c r="U437" s="6">
        <f ca="1">IF(U$6=OFFSET(Assumptions!$B$8,0,$C$1),(OFFSET(U$440,0,-1)-SUM(OFFSET(U$437,0,-5,1,5)))/4,IF(OR(T$6=OFFSET(Assumptions!$B$8,0,$C$1),S$6=OFFSET(Assumptions!$B$8,0,$C$1),R$6=OFFSET(Assumptions!$B$8,0,$C$1)),T$437,0))</f>
        <v>0</v>
      </c>
    </row>
    <row r="438" spans="1:21" ht="15" x14ac:dyDescent="0.25">
      <c r="A438" s="1" t="s">
        <v>612</v>
      </c>
      <c r="B438" s="4"/>
      <c r="C438" s="60">
        <f ca="1">OFFSET(Assumptions!$B$9,0,$C$1)</f>
        <v>0</v>
      </c>
      <c r="D438" s="14">
        <f t="shared" ref="D438:K438" ca="1" si="212">C$438</f>
        <v>0</v>
      </c>
      <c r="E438" s="14">
        <f t="shared" ca="1" si="212"/>
        <v>0</v>
      </c>
      <c r="F438" s="14">
        <f t="shared" ca="1" si="212"/>
        <v>0</v>
      </c>
      <c r="G438" s="15">
        <f t="shared" ca="1" si="212"/>
        <v>0</v>
      </c>
      <c r="H438" s="15">
        <f t="shared" ca="1" si="212"/>
        <v>0</v>
      </c>
      <c r="I438" s="15">
        <f t="shared" ca="1" si="212"/>
        <v>0</v>
      </c>
      <c r="J438" s="15">
        <f t="shared" ca="1" si="212"/>
        <v>0</v>
      </c>
      <c r="K438" s="15">
        <f t="shared" ca="1" si="212"/>
        <v>0</v>
      </c>
      <c r="L438" s="6">
        <f ca="1">IF(L$6=OFFSET(Assumptions!$B$8,0,$C$1),L$440,IF(K$6=OFFSET(Assumptions!$B$8,0,$C$1),SUM(K$440:L$440),IF(J$6=OFFSET(Assumptions!$B$8,0,$C$1),SUM(J$440:L$440),IF(I$6=OFFSET(Assumptions!$B$8,0,$C$1),SUM(I$440:L$440),SUM(H$440:L$440)))))/5</f>
        <v>1.9</v>
      </c>
      <c r="M438" s="6">
        <f ca="1">IF(M$6=OFFSET(Assumptions!$B$8,0,$C$1),M$440,IF(L$6=OFFSET(Assumptions!$B$8,0,$C$1),SUM(L$440:M$440),IF(K$6=OFFSET(Assumptions!$B$8,0,$C$1),SUM(K$440:M$440),IF(J$6=OFFSET(Assumptions!$B$8,0,$C$1),SUM(J$440:M$440),SUM(I$440:M$440)))))/5</f>
        <v>3.8854999999999995</v>
      </c>
      <c r="N438" s="6">
        <f ca="1">IF(N$6=OFFSET(Assumptions!$B$8,0,$C$1),N$440,IF(M$6=OFFSET(Assumptions!$B$8,0,$C$1),SUM(M$440:N$440),IF(L$6=OFFSET(Assumptions!$B$8,0,$C$1),SUM(L$440:N$440),IF(K$6=OFFSET(Assumptions!$B$8,0,$C$1),SUM(K$440:N$440),SUM(J$440:N$440)))))/5</f>
        <v>5.9603474999999992</v>
      </c>
      <c r="O438" s="6">
        <f ca="1">IF(O$6=OFFSET(Assumptions!$B$8,0,$C$1),O$440,IF(N$6=OFFSET(Assumptions!$B$8,0,$C$1),SUM(N$440:O$440),IF(M$6=OFFSET(Assumptions!$B$8,0,$C$1),SUM(M$440:O$440),IF(L$6=OFFSET(Assumptions!$B$8,0,$C$1),SUM(L$440:O$440),SUM(K$440:O$440)))))/5</f>
        <v>8.1285631374999987</v>
      </c>
      <c r="P438" s="6">
        <f ca="1">IF(P$6=OFFSET(Assumptions!$B$8,0,$C$1),P$440,IF(O$6=OFFSET(Assumptions!$B$8,0,$C$1),SUM(O$440:P$440),IF(N$6=OFFSET(Assumptions!$B$8,0,$C$1),SUM(N$440:P$440),IF(M$6=OFFSET(Assumptions!$B$8,0,$C$1),SUM(M$440:P$440),SUM(L$440:P$440)))))/5</f>
        <v>10.394348478687498</v>
      </c>
      <c r="Q438" s="6">
        <f ca="1">IF(Q$6=OFFSET(Assumptions!$B$8,0,$C$1),Q$440,IF(P$6=OFFSET(Assumptions!$B$8,0,$C$1),SUM(P$440:Q$440),IF(O$6=OFFSET(Assumptions!$B$8,0,$C$1),SUM(O$440:Q$440),IF(N$6=OFFSET(Assumptions!$B$8,0,$C$1),SUM(N$440:Q$440),SUM(M$440:Q$440)))))/5</f>
        <v>10.862094160228434</v>
      </c>
      <c r="R438" s="6">
        <f ca="1">IF(R$6=OFFSET(Assumptions!$B$8,0,$C$1),R$440,IF(Q$6=OFFSET(Assumptions!$B$8,0,$C$1),SUM(Q$440:R$440),IF(P$6=OFFSET(Assumptions!$B$8,0,$C$1),SUM(P$440:R$440),IF(O$6=OFFSET(Assumptions!$B$8,0,$C$1),SUM(O$440:R$440),SUM(N$440:R$440)))))/5</f>
        <v>11.350888397438714</v>
      </c>
      <c r="S438" s="6">
        <f ca="1">IF(S$6=OFFSET(Assumptions!$B$8,0,$C$1),S$440,IF(R$6=OFFSET(Assumptions!$B$8,0,$C$1),SUM(R$440:S$440),IF(Q$6=OFFSET(Assumptions!$B$8,0,$C$1),SUM(Q$440:S$440),IF(P$6=OFFSET(Assumptions!$B$8,0,$C$1),SUM(P$440:S$440),SUM(O$440:S$440)))))/5</f>
        <v>11.861678375323454</v>
      </c>
      <c r="T438" s="6">
        <f ca="1">IF(T$6=OFFSET(Assumptions!$B$8,0,$C$1),T$440,IF(S$6=OFFSET(Assumptions!$B$8,0,$C$1),SUM(S$440:T$440),IF(R$6=OFFSET(Assumptions!$B$8,0,$C$1),SUM(R$440:T$440),IF(Q$6=OFFSET(Assumptions!$B$8,0,$C$1),SUM(Q$440:T$440),SUM(P$440:T$440)))))/5</f>
        <v>12.39545390221301</v>
      </c>
      <c r="U438" s="6">
        <f ca="1">IF(U$6=OFFSET(Assumptions!$B$8,0,$C$1),U$440,IF(T$6=OFFSET(Assumptions!$B$8,0,$C$1),SUM(T$440:U$440),IF(S$6=OFFSET(Assumptions!$B$8,0,$C$1),SUM(S$440:U$440),IF(R$6=OFFSET(Assumptions!$B$8,0,$C$1),SUM(R$440:U$440),SUM(Q$440:U$440)))))/5</f>
        <v>12.953249327812594</v>
      </c>
    </row>
    <row r="439" spans="1:21" ht="15" x14ac:dyDescent="0.25">
      <c r="A439" s="2" t="s">
        <v>613</v>
      </c>
      <c r="B439" s="4"/>
      <c r="D439" s="34">
        <f t="shared" ref="D439:U439" ca="1" si="213">SUM(D$432:D$438)</f>
        <v>0</v>
      </c>
      <c r="E439" s="34">
        <f t="shared" ca="1" si="213"/>
        <v>0</v>
      </c>
      <c r="F439" s="34">
        <f t="shared" ca="1" si="213"/>
        <v>0</v>
      </c>
      <c r="G439" s="33">
        <f t="shared" ca="1" si="213"/>
        <v>0.185</v>
      </c>
      <c r="H439" s="33">
        <f t="shared" ca="1" si="213"/>
        <v>1.2669999999999999</v>
      </c>
      <c r="I439" s="33">
        <f t="shared" ca="1" si="213"/>
        <v>1.542</v>
      </c>
      <c r="J439" s="33">
        <f t="shared" ca="1" si="213"/>
        <v>2.3570000000000002</v>
      </c>
      <c r="K439" s="33">
        <f t="shared" ca="1" si="213"/>
        <v>2.7090000000000001</v>
      </c>
      <c r="L439" s="37">
        <f t="shared" ca="1" si="213"/>
        <v>3.9952499999999995</v>
      </c>
      <c r="M439" s="37">
        <f t="shared" ca="1" si="213"/>
        <v>5.6837499999999999</v>
      </c>
      <c r="N439" s="37">
        <f t="shared" ca="1" si="213"/>
        <v>7.312597499999999</v>
      </c>
      <c r="O439" s="37">
        <f t="shared" ca="1" si="213"/>
        <v>8.8508131374999994</v>
      </c>
      <c r="P439" s="37">
        <f t="shared" ca="1" si="213"/>
        <v>10.394348478687498</v>
      </c>
      <c r="Q439" s="37">
        <f t="shared" ca="1" si="213"/>
        <v>10.862094160228434</v>
      </c>
      <c r="R439" s="37">
        <f t="shared" ca="1" si="213"/>
        <v>11.350888397438714</v>
      </c>
      <c r="S439" s="37">
        <f t="shared" ca="1" si="213"/>
        <v>11.861678375323454</v>
      </c>
      <c r="T439" s="37">
        <f t="shared" ca="1" si="213"/>
        <v>12.39545390221301</v>
      </c>
      <c r="U439" s="37">
        <f t="shared" ca="1" si="213"/>
        <v>12.953249327812594</v>
      </c>
    </row>
    <row r="440" spans="1:21" ht="15" x14ac:dyDescent="0.25">
      <c r="A440" s="2" t="s">
        <v>614</v>
      </c>
      <c r="B440" s="4" t="str">
        <f t="shared" ref="B440:B445" si="214">$B$37</f>
        <v>From Fiscal</v>
      </c>
      <c r="D440" s="14">
        <f>'Fiscal Forecasts'!D$283</f>
        <v>0</v>
      </c>
      <c r="E440" s="14">
        <f>'Fiscal Forecasts'!E$283</f>
        <v>0</v>
      </c>
      <c r="F440" s="14">
        <f>'Fiscal Forecasts'!F$283</f>
        <v>2.0819999999999999</v>
      </c>
      <c r="G440" s="15">
        <f>'Fiscal Forecasts'!G$283 +IF($C$2="Yes",'Fiscal Forecast Adjuster'!C$28/1000,0)</f>
        <v>0</v>
      </c>
      <c r="H440" s="15">
        <f>'Fiscal Forecasts'!H$283 +IF($C$2="Yes",'Fiscal Forecast Adjuster'!D$28/1000,0)</f>
        <v>2.9729999999999999</v>
      </c>
      <c r="I440" s="15">
        <f>'Fiscal Forecasts'!I$283 +IF($C$2="Yes",'Fiscal Forecast Adjuster'!E$28/1000,0)</f>
        <v>2.9729999999999999</v>
      </c>
      <c r="J440" s="15">
        <f>'Fiscal Forecasts'!J$283 +IF($C$2="Yes",'Fiscal Forecast Adjuster'!F$28/1000,0)</f>
        <v>3</v>
      </c>
      <c r="K440" s="15">
        <f>'Fiscal Forecasts'!K$283 +IF($C$2="Yes",'Fiscal Forecast Adjuster'!G$28/1000,0)</f>
        <v>3</v>
      </c>
      <c r="L440" s="6">
        <f ca="1">IF(L$6=OFFSET(Assumptions!$B$8,0,$C$1),OFFSET(Assumptions!$B$66,0,$C$1),K$440*(1+OFFSET(Assumptions!$B$67,0,$C$1)))</f>
        <v>9.5</v>
      </c>
      <c r="M440" s="6">
        <f ca="1">IF(M$6=OFFSET(Assumptions!$B$8,0,$C$1),OFFSET(Assumptions!$B$66,0,$C$1),L$440*(1+OFFSET(Assumptions!$B$67,0,$C$1)))</f>
        <v>9.9274999999999984</v>
      </c>
      <c r="N440" s="6">
        <f ca="1">IF(N$6=OFFSET(Assumptions!$B$8,0,$C$1),OFFSET(Assumptions!$B$66,0,$C$1),M$440*(1+OFFSET(Assumptions!$B$67,0,$C$1)))</f>
        <v>10.374237499999998</v>
      </c>
      <c r="O440" s="6">
        <f ca="1">IF(O$6=OFFSET(Assumptions!$B$8,0,$C$1),OFFSET(Assumptions!$B$66,0,$C$1),N$440*(1+OFFSET(Assumptions!$B$67,0,$C$1)))</f>
        <v>10.841078187499997</v>
      </c>
      <c r="P440" s="6">
        <f ca="1">IF(P$6=OFFSET(Assumptions!$B$8,0,$C$1),OFFSET(Assumptions!$B$66,0,$C$1),O$440*(1+OFFSET(Assumptions!$B$67,0,$C$1)))</f>
        <v>11.328926705937496</v>
      </c>
      <c r="Q440" s="6">
        <f ca="1">IF(Q$6=OFFSET(Assumptions!$B$8,0,$C$1),OFFSET(Assumptions!$B$66,0,$C$1),P$440*(1+OFFSET(Assumptions!$B$67,0,$C$1)))</f>
        <v>11.838728407704682</v>
      </c>
      <c r="R440" s="6">
        <f ca="1">IF(R$6=OFFSET(Assumptions!$B$8,0,$C$1),OFFSET(Assumptions!$B$66,0,$C$1),Q$440*(1+OFFSET(Assumptions!$B$67,0,$C$1)))</f>
        <v>12.371471186051393</v>
      </c>
      <c r="S440" s="6">
        <f ca="1">IF(S$6=OFFSET(Assumptions!$B$8,0,$C$1),OFFSET(Assumptions!$B$66,0,$C$1),R$440*(1+OFFSET(Assumptions!$B$67,0,$C$1)))</f>
        <v>12.928187389423705</v>
      </c>
      <c r="T440" s="6">
        <f ca="1">IF(T$6=OFFSET(Assumptions!$B$8,0,$C$1),OFFSET(Assumptions!$B$66,0,$C$1),S$440*(1+OFFSET(Assumptions!$B$67,0,$C$1)))</f>
        <v>13.509955821947772</v>
      </c>
      <c r="U440" s="6">
        <f ca="1">IF(U$6=OFFSET(Assumptions!$B$8,0,$C$1),OFFSET(Assumptions!$B$66,0,$C$1),T$440*(1+OFFSET(Assumptions!$B$67,0,$C$1)))</f>
        <v>14.11790383393542</v>
      </c>
    </row>
    <row r="441" spans="1:21" ht="15" x14ac:dyDescent="0.25">
      <c r="A441" s="2" t="s">
        <v>839</v>
      </c>
      <c r="B441" s="4" t="str">
        <f t="shared" si="214"/>
        <v>From Fiscal</v>
      </c>
      <c r="D441" s="39">
        <f>'Fiscal Forecasts'!D$124</f>
        <v>0</v>
      </c>
      <c r="E441" s="39">
        <f>'Fiscal Forecasts'!E$124</f>
        <v>0</v>
      </c>
      <c r="F441" s="39">
        <f>'Fiscal Forecasts'!F$124</f>
        <v>0</v>
      </c>
      <c r="G441" s="38">
        <f>'Fiscal Forecasts'!G$124 +IF($C$2="Yes",'Fiscal Forecast Adjuster'!C$29/1000,0)</f>
        <v>0.185</v>
      </c>
      <c r="H441" s="38">
        <f>'Fiscal Forecasts'!H$124 +IF($C$2="Yes",'Fiscal Forecast Adjuster'!D$29/1000,0)</f>
        <v>1.452</v>
      </c>
      <c r="I441" s="38">
        <f>'Fiscal Forecasts'!I$124 +IF($C$2="Yes",'Fiscal Forecast Adjuster'!E$29/1000,0)</f>
        <v>2.9940000000000002</v>
      </c>
      <c r="J441" s="38">
        <f>'Fiscal Forecasts'!J$124 +IF($C$2="Yes",'Fiscal Forecast Adjuster'!F$29/1000,0)</f>
        <v>5.351</v>
      </c>
      <c r="K441" s="38">
        <f>'Fiscal Forecasts'!K$124 +IF($C$2="Yes",'Fiscal Forecast Adjuster'!G$29/1000,0)</f>
        <v>8.06</v>
      </c>
      <c r="L441" s="7">
        <f ca="1">SUM($D$439:L$439)</f>
        <v>12.055250000000001</v>
      </c>
      <c r="M441" s="7">
        <f ca="1">SUM($D$439:M$439)</f>
        <v>17.739000000000001</v>
      </c>
      <c r="N441" s="7">
        <f ca="1">SUM($D$439:N$439)</f>
        <v>25.0515975</v>
      </c>
      <c r="O441" s="7">
        <f ca="1">SUM($D$439:O$439)</f>
        <v>33.902410637499997</v>
      </c>
      <c r="P441" s="7">
        <f ca="1">SUM($D$439:P$439)</f>
        <v>44.296759116187495</v>
      </c>
      <c r="Q441" s="7">
        <f ca="1">SUM($D$439:Q$439)</f>
        <v>55.158853276415925</v>
      </c>
      <c r="R441" s="7">
        <f ca="1">SUM($D$439:R$439)</f>
        <v>66.509741673854634</v>
      </c>
      <c r="S441" s="7">
        <f ca="1">SUM($D$439:S$439)</f>
        <v>78.371420049178084</v>
      </c>
      <c r="T441" s="7">
        <f ca="1">SUM($D$439:T$439)</f>
        <v>90.766873951391091</v>
      </c>
      <c r="U441" s="7">
        <f ca="1">SUM($D$439:U$439)</f>
        <v>103.72012327920369</v>
      </c>
    </row>
    <row r="442" spans="1:21" ht="15" x14ac:dyDescent="0.25">
      <c r="A442" s="2" t="s">
        <v>840</v>
      </c>
      <c r="B442" s="4" t="str">
        <f t="shared" si="214"/>
        <v>From Fiscal</v>
      </c>
      <c r="D442" s="39">
        <f>'Fiscal Forecasts'!D$125</f>
        <v>0</v>
      </c>
      <c r="E442" s="39">
        <f>'Fiscal Forecasts'!E$125</f>
        <v>0</v>
      </c>
      <c r="F442" s="39">
        <f>'Fiscal Forecasts'!F$125</f>
        <v>0</v>
      </c>
      <c r="G442" s="38">
        <f>'Fiscal Forecasts'!G$125</f>
        <v>-0.48499999999999999</v>
      </c>
      <c r="H442" s="38">
        <f>'Fiscal Forecasts'!H$125</f>
        <v>-1.085</v>
      </c>
      <c r="I442" s="38">
        <f>'Fiscal Forecasts'!I$125</f>
        <v>-1.2350000000000001</v>
      </c>
      <c r="J442" s="38">
        <f>'Fiscal Forecasts'!J$125</f>
        <v>-1.4850000000000001</v>
      </c>
      <c r="K442" s="38">
        <f>'Fiscal Forecasts'!K$125</f>
        <v>-1.4850000000000001</v>
      </c>
      <c r="L442" s="7">
        <f ca="1">K$442*(1+OFFSET(Assumptions!$B$67,0,$C$1))</f>
        <v>-1.551825</v>
      </c>
      <c r="M442" s="7">
        <f ca="1">L$442*(1+OFFSET(Assumptions!$B$67,0,$C$1))</f>
        <v>-1.6216571249999998</v>
      </c>
      <c r="N442" s="7">
        <f ca="1">M$442*(1+OFFSET(Assumptions!$B$67,0,$C$1))</f>
        <v>-1.6946316956249996</v>
      </c>
      <c r="O442" s="7">
        <f ca="1">N$442*(1+OFFSET(Assumptions!$B$67,0,$C$1))</f>
        <v>-1.7708901219281246</v>
      </c>
      <c r="P442" s="7">
        <f ca="1">O$442*(1+OFFSET(Assumptions!$B$67,0,$C$1))</f>
        <v>-1.85058017741489</v>
      </c>
      <c r="Q442" s="7">
        <f ca="1">P$442*(1+OFFSET(Assumptions!$B$67,0,$C$1))</f>
        <v>-1.9338562853985599</v>
      </c>
      <c r="R442" s="7">
        <f ca="1">Q$442*(1+OFFSET(Assumptions!$B$67,0,$C$1))</f>
        <v>-2.0208798182414949</v>
      </c>
      <c r="S442" s="7">
        <f ca="1">R$442*(1+OFFSET(Assumptions!$B$67,0,$C$1))</f>
        <v>-2.111819410062362</v>
      </c>
      <c r="T442" s="7">
        <f ca="1">S$442*(1+OFFSET(Assumptions!$B$67,0,$C$1))</f>
        <v>-2.2068512835151681</v>
      </c>
      <c r="U442" s="7">
        <f ca="1">T$442*(1+OFFSET(Assumptions!$B$67,0,$C$1))</f>
        <v>-2.3061595912733504</v>
      </c>
    </row>
    <row r="443" spans="1:21" ht="15" x14ac:dyDescent="0.25">
      <c r="B443" s="4"/>
      <c r="D443" s="39"/>
      <c r="E443" s="39"/>
      <c r="F443" s="39"/>
      <c r="G443" s="39"/>
      <c r="H443" s="39"/>
      <c r="I443" s="39"/>
      <c r="J443" s="39"/>
      <c r="K443" s="39"/>
      <c r="L443" s="7"/>
      <c r="M443" s="7"/>
      <c r="N443" s="7"/>
      <c r="O443" s="7"/>
      <c r="P443" s="7"/>
      <c r="Q443" s="7"/>
      <c r="R443" s="7"/>
      <c r="S443" s="7"/>
      <c r="T443" s="7"/>
      <c r="U443" s="7"/>
    </row>
    <row r="444" spans="1:21" ht="15" x14ac:dyDescent="0.25">
      <c r="A444" s="18" t="s">
        <v>225</v>
      </c>
      <c r="B444" s="4"/>
      <c r="D444" s="39"/>
      <c r="E444" s="39"/>
      <c r="F444" s="39"/>
      <c r="G444" s="38"/>
      <c r="H444" s="38"/>
      <c r="I444" s="38"/>
      <c r="J444" s="38"/>
      <c r="K444" s="38"/>
      <c r="L444" s="7"/>
      <c r="M444" s="7"/>
      <c r="N444" s="7"/>
      <c r="O444" s="7"/>
      <c r="P444" s="7"/>
      <c r="Q444" s="7"/>
      <c r="R444" s="7"/>
      <c r="S444" s="7"/>
      <c r="T444" s="7"/>
      <c r="U444" s="7"/>
    </row>
    <row r="445" spans="1:21" ht="15" x14ac:dyDescent="0.25">
      <c r="A445" s="2" t="s">
        <v>617</v>
      </c>
      <c r="B445" s="4" t="str">
        <f t="shared" si="214"/>
        <v>From Fiscal</v>
      </c>
      <c r="D445" s="39">
        <f>'Fiscal Forecasts'!D$127</f>
        <v>5.3360000000000003</v>
      </c>
      <c r="E445" s="39">
        <f>'Fiscal Forecasts'!E$127</f>
        <v>5.7149999999999999</v>
      </c>
      <c r="F445" s="39">
        <f>'Fiscal Forecasts'!F$127</f>
        <v>5.98</v>
      </c>
      <c r="G445" s="38">
        <f>'Fiscal Forecasts'!G$127</f>
        <v>6.44</v>
      </c>
      <c r="H445" s="38">
        <f>'Fiscal Forecasts'!H$127</f>
        <v>6.6360000000000001</v>
      </c>
      <c r="I445" s="38">
        <f>'Fiscal Forecasts'!I$127</f>
        <v>6.8380000000000001</v>
      </c>
      <c r="J445" s="38">
        <f>'Fiscal Forecasts'!J$127</f>
        <v>7.0460000000000003</v>
      </c>
      <c r="K445" s="38">
        <f>'Fiscal Forecasts'!K$127</f>
        <v>7.26</v>
      </c>
      <c r="L445" s="7">
        <f ca="1">(K$445/K$13+ IF(L$2&gt;0,L$2*IF(L$6=OFFSET(Assumptions!$B$8,0,$C$1),SUMPRODUCT(OFFSET(K$445,0,0,1,-OFFSET(Assumptions!$B$84,0,$C$1)),OFFSET(K$15,0,0,1,-OFFSET(Assumptions!$B$84,0,$C$1)))/OFFSET(Assumptions!$B$84,0,$C$1)-K$445/K$13,(K$445/K$13-J$445/J$13)/K$2),0))*L$13</f>
        <v>7.6375284660035572</v>
      </c>
      <c r="M445" s="7">
        <f ca="1">(L$445/L$13+ IF(M$2&gt;0,M$2*IF(M$6=OFFSET(Assumptions!$B$8,0,$C$1),SUMPRODUCT(OFFSET(L$445,0,0,1,-OFFSET(Assumptions!$B$84,0,$C$1)),OFFSET(L$15,0,0,1,-OFFSET(Assumptions!$B$84,0,$C$1)))/OFFSET(Assumptions!$B$84,0,$C$1)-L$445/L$13,(L$445/L$13-K$445/K$13)/L$2),0))*M$13</f>
        <v>8.016763354571907</v>
      </c>
      <c r="N445" s="7">
        <f ca="1">(M$445/M$13+ IF(N$2&gt;0,N$2*IF(N$6=OFFSET(Assumptions!$B$8,0,$C$1),SUMPRODUCT(OFFSET(M$445,0,0,1,-OFFSET(Assumptions!$B$84,0,$C$1)),OFFSET(M$15,0,0,1,-OFFSET(Assumptions!$B$84,0,$C$1)))/OFFSET(Assumptions!$B$84,0,$C$1)-M$445/M$13,(M$445/M$13-L$445/L$13)/M$2),0))*N$13</f>
        <v>8.3982585636849105</v>
      </c>
      <c r="O445" s="7">
        <f ca="1">(N$445/N$13+ IF(O$2&gt;0,O$2*IF(O$6=OFFSET(Assumptions!$B$8,0,$C$1),SUMPRODUCT(OFFSET(N$445,0,0,1,-OFFSET(Assumptions!$B$84,0,$C$1)),OFFSET(N$15,0,0,1,-OFFSET(Assumptions!$B$84,0,$C$1)))/OFFSET(Assumptions!$B$84,0,$C$1)-N$445/N$13,(N$445/N$13-M$445/M$13)/N$2),0))*O$13</f>
        <v>8.7825771659926151</v>
      </c>
      <c r="P445" s="7">
        <f ca="1">(O$445/O$13+ IF(P$2&gt;0,P$2*IF(P$6=OFFSET(Assumptions!$B$8,0,$C$1),SUMPRODUCT(OFFSET(O$445,0,0,1,-OFFSET(Assumptions!$B$84,0,$C$1)),OFFSET(O$15,0,0,1,-OFFSET(Assumptions!$B$84,0,$C$1)))/OFFSET(Assumptions!$B$84,0,$C$1)-O$445/O$13,(O$445/O$13-N$445/N$13)/O$2),0))*P$13</f>
        <v>9.1720230691375324</v>
      </c>
      <c r="Q445" s="7">
        <f ca="1">(P$445/P$13+ IF(Q$2&gt;0,Q$2*IF(Q$6=OFFSET(Assumptions!$B$8,0,$C$1),SUMPRODUCT(OFFSET(P$445,0,0,1,-OFFSET(Assumptions!$B$84,0,$C$1)),OFFSET(P$15,0,0,1,-OFFSET(Assumptions!$B$84,0,$C$1)))/OFFSET(Assumptions!$B$84,0,$C$1)-P$445/P$13,(P$445/P$13-O$445/O$13)/P$2),0))*Q$13</f>
        <v>9.5661408899404794</v>
      </c>
      <c r="R445" s="7">
        <f ca="1">(Q$445/Q$13+ IF(R$2&gt;0,R$2*IF(R$6=OFFSET(Assumptions!$B$8,0,$C$1),SUMPRODUCT(OFFSET(Q$445,0,0,1,-OFFSET(Assumptions!$B$84,0,$C$1)),OFFSET(Q$15,0,0,1,-OFFSET(Assumptions!$B$84,0,$C$1)))/OFFSET(Assumptions!$B$84,0,$C$1)-Q$445/Q$13,(Q$445/Q$13-P$445/P$13)/Q$2),0))*R$13</f>
        <v>9.9727005202763195</v>
      </c>
      <c r="S445" s="7">
        <f ca="1">(R$445/R$13+ IF(S$2&gt;0,S$2*IF(S$6=OFFSET(Assumptions!$B$8,0,$C$1),SUMPRODUCT(OFFSET(R$445,0,0,1,-OFFSET(Assumptions!$B$84,0,$C$1)),OFFSET(R$15,0,0,1,-OFFSET(Assumptions!$B$84,0,$C$1)))/OFFSET(Assumptions!$B$84,0,$C$1)-R$445/R$13,(R$445/R$13-Q$445/Q$13)/R$2),0))*S$13</f>
        <v>10.392912810162491</v>
      </c>
      <c r="T445" s="7">
        <f ca="1">(S$445/S$13+ IF(T$2&gt;0,T$2*IF(T$6=OFFSET(Assumptions!$B$8,0,$C$1),SUMPRODUCT(OFFSET(S$445,0,0,1,-OFFSET(Assumptions!$B$84,0,$C$1)),OFFSET(S$15,0,0,1,-OFFSET(Assumptions!$B$84,0,$C$1)))/OFFSET(Assumptions!$B$84,0,$C$1)-S$445/S$13,(S$445/S$13-R$445/R$13)/S$2),0))*T$13</f>
        <v>10.827160143988008</v>
      </c>
      <c r="U445" s="7">
        <f ca="1">(T$445/T$13+ IF(U$2&gt;0,U$2*IF(U$6=OFFSET(Assumptions!$B$8,0,$C$1),SUMPRODUCT(OFFSET(T$445,0,0,1,-OFFSET(Assumptions!$B$84,0,$C$1)),OFFSET(T$15,0,0,1,-OFFSET(Assumptions!$B$84,0,$C$1)))/OFFSET(Assumptions!$B$84,0,$C$1)-T$445/T$13,(T$445/T$13-S$445/S$13)/T$2),0))*U$13</f>
        <v>11.276755225968778</v>
      </c>
    </row>
    <row r="446" spans="1:21" ht="15" x14ac:dyDescent="0.25">
      <c r="A446" s="2"/>
      <c r="B446" s="4"/>
    </row>
    <row r="447" spans="1:21" x14ac:dyDescent="0.2">
      <c r="A447" s="18" t="s">
        <v>226</v>
      </c>
      <c r="B447" s="4"/>
    </row>
    <row r="448" spans="1:21" x14ac:dyDescent="0.2">
      <c r="A448" s="1" t="s">
        <v>618</v>
      </c>
      <c r="B448" s="4"/>
      <c r="D448" s="14">
        <f t="shared" ref="D448:K448" si="215">D$376-D$69</f>
        <v>0.65200000000000014</v>
      </c>
      <c r="E448" s="14">
        <f t="shared" si="215"/>
        <v>0.82600000000000007</v>
      </c>
      <c r="F448" s="14">
        <f t="shared" si="215"/>
        <v>3.1689999999999996</v>
      </c>
      <c r="G448" s="15">
        <f t="shared" si="215"/>
        <v>1.2669999999999999</v>
      </c>
      <c r="H448" s="15">
        <f t="shared" si="215"/>
        <v>1.181</v>
      </c>
      <c r="I448" s="15">
        <f t="shared" si="215"/>
        <v>1.3220000000000001</v>
      </c>
      <c r="J448" s="15">
        <f t="shared" si="215"/>
        <v>1.5179999999999998</v>
      </c>
      <c r="K448" s="15">
        <f t="shared" si="215"/>
        <v>1.6539999999999999</v>
      </c>
      <c r="L448" s="6">
        <f ca="1">K$448*L$373/K$373</f>
        <v>1.818889657477843</v>
      </c>
      <c r="M448" s="6">
        <f t="shared" ref="M448:U448" ca="1" si="216">L$448*M$373/L$373</f>
        <v>1.992125698262923</v>
      </c>
      <c r="N448" s="6">
        <f t="shared" ca="1" si="216"/>
        <v>2.172897416473254</v>
      </c>
      <c r="O448" s="6">
        <f t="shared" ca="1" si="216"/>
        <v>2.360440582986191</v>
      </c>
      <c r="P448" s="6">
        <f t="shared" ca="1" si="216"/>
        <v>2.5547077941877023</v>
      </c>
      <c r="Q448" s="6">
        <f t="shared" ca="1" si="216"/>
        <v>2.7525589504401768</v>
      </c>
      <c r="R448" s="6">
        <f t="shared" ca="1" si="216"/>
        <v>2.9541689931060708</v>
      </c>
      <c r="S448" s="6">
        <f t="shared" ca="1" si="216"/>
        <v>3.1609591199345322</v>
      </c>
      <c r="T448" s="6">
        <f t="shared" ca="1" si="216"/>
        <v>3.3734113711401958</v>
      </c>
      <c r="U448" s="6">
        <f t="shared" ca="1" si="216"/>
        <v>3.5916270074165055</v>
      </c>
    </row>
    <row r="449" spans="1:21" x14ac:dyDescent="0.2">
      <c r="A449" s="1" t="s">
        <v>375</v>
      </c>
      <c r="B449" s="4" t="str">
        <f t="shared" ref="B449:B461" si="217">$B$37</f>
        <v>From Fiscal</v>
      </c>
      <c r="D449" s="14">
        <f>'Fiscal Forecasts'!D$354</f>
        <v>4.3540000000000001</v>
      </c>
      <c r="E449" s="14">
        <f>'Fiscal Forecasts'!E$354</f>
        <v>4.5209999999999999</v>
      </c>
      <c r="F449" s="14">
        <f>'Fiscal Forecasts'!F$354</f>
        <v>4.2770000000000001</v>
      </c>
      <c r="G449" s="15">
        <f>'Fiscal Forecasts'!G$354</f>
        <v>4.3280000000000003</v>
      </c>
      <c r="H449" s="15">
        <f>'Fiscal Forecasts'!H$354</f>
        <v>4.3369999999999997</v>
      </c>
      <c r="I449" s="15">
        <f>'Fiscal Forecasts'!I$354</f>
        <v>4.3570000000000002</v>
      </c>
      <c r="J449" s="15">
        <f>'Fiscal Forecasts'!J$354</f>
        <v>4.3760000000000003</v>
      </c>
      <c r="K449" s="15">
        <f>'Fiscal Forecasts'!K$354</f>
        <v>4.3929999999999998</v>
      </c>
      <c r="L449" s="6">
        <f t="shared" ref="L449:U449" ca="1" si="218">K$449*L$342/K$342</f>
        <v>4.5824215746036163</v>
      </c>
      <c r="M449" s="6">
        <f t="shared" ca="1" si="218"/>
        <v>4.8074119821946839</v>
      </c>
      <c r="N449" s="6">
        <f t="shared" ca="1" si="218"/>
        <v>5.0216221323821815</v>
      </c>
      <c r="O449" s="6">
        <f t="shared" ca="1" si="218"/>
        <v>5.2413173325253979</v>
      </c>
      <c r="P449" s="6">
        <f t="shared" ca="1" si="218"/>
        <v>5.468472945340368</v>
      </c>
      <c r="Q449" s="6">
        <f t="shared" ca="1" si="218"/>
        <v>5.7034508367054055</v>
      </c>
      <c r="R449" s="6">
        <f t="shared" ca="1" si="218"/>
        <v>5.9458466879151635</v>
      </c>
      <c r="S449" s="6">
        <f t="shared" ca="1" si="218"/>
        <v>6.1963824226402764</v>
      </c>
      <c r="T449" s="6">
        <f t="shared" ca="1" si="218"/>
        <v>6.4552860231557849</v>
      </c>
      <c r="U449" s="6">
        <f t="shared" ca="1" si="218"/>
        <v>6.7233401398579913</v>
      </c>
    </row>
    <row r="450" spans="1:21" x14ac:dyDescent="0.2">
      <c r="A450" s="1" t="s">
        <v>619</v>
      </c>
      <c r="B450" s="4" t="str">
        <f t="shared" si="217"/>
        <v>From Fiscal</v>
      </c>
      <c r="D450" s="14">
        <f>'Fiscal Forecasts'!D$179-SUM(D$448:D$449)</f>
        <v>3.125</v>
      </c>
      <c r="E450" s="14">
        <f>'Fiscal Forecasts'!E$179-SUM(E$448:E$449)</f>
        <v>2.8109999999999999</v>
      </c>
      <c r="F450" s="14">
        <f>'Fiscal Forecasts'!F$179-SUM(F$448:F$449)</f>
        <v>3.407</v>
      </c>
      <c r="G450" s="15">
        <f>'Fiscal Forecasts'!G$179-SUM(G$448:G$449)</f>
        <v>2.3499999999999996</v>
      </c>
      <c r="H450" s="15">
        <f>'Fiscal Forecasts'!H$179-SUM(H$448:H$449)</f>
        <v>2.7</v>
      </c>
      <c r="I450" s="15">
        <f>'Fiscal Forecasts'!I$179-SUM(I$448:I$449)</f>
        <v>2.5700000000000003</v>
      </c>
      <c r="J450" s="15">
        <f>'Fiscal Forecasts'!J$179-SUM(J$448:J$449)</f>
        <v>2.6440000000000001</v>
      </c>
      <c r="K450" s="15">
        <f>'Fiscal Forecasts'!K$179-SUM(K$448:K$449)</f>
        <v>2.7570000000000006</v>
      </c>
      <c r="L450" s="6">
        <f t="shared" ref="L450:U450" ca="1" si="219">K$450*(1+L$23)*(1+L$30)</f>
        <v>2.8386169248563062</v>
      </c>
      <c r="M450" s="6">
        <f t="shared" ca="1" si="219"/>
        <v>2.9221262795563825</v>
      </c>
      <c r="N450" s="6">
        <f t="shared" ca="1" si="219"/>
        <v>3.0076058058446633</v>
      </c>
      <c r="O450" s="6">
        <f t="shared" ca="1" si="219"/>
        <v>3.0949560453185185</v>
      </c>
      <c r="P450" s="6">
        <f t="shared" ca="1" si="219"/>
        <v>3.1840492013949611</v>
      </c>
      <c r="Q450" s="6">
        <f t="shared" ca="1" si="219"/>
        <v>3.2749333944843144</v>
      </c>
      <c r="R450" s="6">
        <f t="shared" ca="1" si="219"/>
        <v>3.3674418047889252</v>
      </c>
      <c r="S450" s="6">
        <f t="shared" ca="1" si="219"/>
        <v>3.4615314014683265</v>
      </c>
      <c r="T450" s="6">
        <f t="shared" ca="1" si="219"/>
        <v>3.5573025188531155</v>
      </c>
      <c r="U450" s="6">
        <f t="shared" ca="1" si="219"/>
        <v>3.6545333049928792</v>
      </c>
    </row>
    <row r="451" spans="1:21" ht="15" x14ac:dyDescent="0.25">
      <c r="A451" s="2" t="s">
        <v>620</v>
      </c>
      <c r="B451" s="4"/>
      <c r="D451" s="34">
        <f t="shared" ref="D451:U451" si="220">SUM(D$448:D$450)</f>
        <v>8.1310000000000002</v>
      </c>
      <c r="E451" s="34">
        <f t="shared" si="220"/>
        <v>8.1579999999999995</v>
      </c>
      <c r="F451" s="34">
        <f t="shared" si="220"/>
        <v>10.853</v>
      </c>
      <c r="G451" s="33">
        <f t="shared" si="220"/>
        <v>7.9450000000000003</v>
      </c>
      <c r="H451" s="33">
        <f t="shared" si="220"/>
        <v>8.218</v>
      </c>
      <c r="I451" s="33">
        <f t="shared" si="220"/>
        <v>8.2490000000000006</v>
      </c>
      <c r="J451" s="33">
        <f t="shared" si="220"/>
        <v>8.5380000000000003</v>
      </c>
      <c r="K451" s="33">
        <f t="shared" si="220"/>
        <v>8.8040000000000003</v>
      </c>
      <c r="L451" s="37">
        <f t="shared" ca="1" si="220"/>
        <v>9.2399281569377649</v>
      </c>
      <c r="M451" s="37">
        <f t="shared" ca="1" si="220"/>
        <v>9.7216639600139896</v>
      </c>
      <c r="N451" s="37">
        <f t="shared" ca="1" si="220"/>
        <v>10.202125354700099</v>
      </c>
      <c r="O451" s="37">
        <f t="shared" ca="1" si="220"/>
        <v>10.696713960830108</v>
      </c>
      <c r="P451" s="37">
        <f t="shared" ca="1" si="220"/>
        <v>11.207229940923032</v>
      </c>
      <c r="Q451" s="37">
        <f t="shared" ca="1" si="220"/>
        <v>11.730943181629897</v>
      </c>
      <c r="R451" s="37">
        <f t="shared" ca="1" si="220"/>
        <v>12.267457485810159</v>
      </c>
      <c r="S451" s="37">
        <f t="shared" ca="1" si="220"/>
        <v>12.818872944043134</v>
      </c>
      <c r="T451" s="37">
        <f t="shared" ca="1" si="220"/>
        <v>13.385999913149096</v>
      </c>
      <c r="U451" s="37">
        <f t="shared" ca="1" si="220"/>
        <v>13.969500452267377</v>
      </c>
    </row>
    <row r="452" spans="1:21" ht="15" x14ac:dyDescent="0.25">
      <c r="A452" s="2" t="s">
        <v>621</v>
      </c>
      <c r="B452" s="4" t="str">
        <f t="shared" si="217"/>
        <v>From Fiscal</v>
      </c>
      <c r="D452" s="39">
        <f>'Fiscal Forecasts'!D$128</f>
        <v>11.952999999999999</v>
      </c>
      <c r="E452" s="39">
        <f>'Fiscal Forecasts'!E$128</f>
        <v>12.029</v>
      </c>
      <c r="F452" s="39">
        <f>'Fiscal Forecasts'!F$128</f>
        <v>14.794</v>
      </c>
      <c r="G452" s="38">
        <f>'Fiscal Forecasts'!G$128</f>
        <v>13.007</v>
      </c>
      <c r="H452" s="38">
        <f>'Fiscal Forecasts'!H$128</f>
        <v>13.484</v>
      </c>
      <c r="I452" s="38">
        <f>'Fiscal Forecasts'!I$128</f>
        <v>13.275</v>
      </c>
      <c r="J452" s="38">
        <f>'Fiscal Forecasts'!J$128</f>
        <v>13.417</v>
      </c>
      <c r="K452" s="38">
        <f>'Fiscal Forecasts'!K$128</f>
        <v>13.651</v>
      </c>
      <c r="L452" s="7">
        <f t="shared" ref="L452:U452" ca="1" si="221">L$451+(K$452-K$451)*(1+L$23)*(1+L$30)</f>
        <v>14.230416453919453</v>
      </c>
      <c r="M452" s="7">
        <f t="shared" ca="1" si="221"/>
        <v>14.858967578806077</v>
      </c>
      <c r="N452" s="7">
        <f t="shared" ca="1" si="221"/>
        <v>15.489707995588414</v>
      </c>
      <c r="O452" s="7">
        <f t="shared" ca="1" si="221"/>
        <v>16.137864469230131</v>
      </c>
      <c r="P452" s="7">
        <f t="shared" ca="1" si="221"/>
        <v>16.805012486864772</v>
      </c>
      <c r="Q452" s="7">
        <f t="shared" ca="1" si="221"/>
        <v>17.488506534210771</v>
      </c>
      <c r="R452" s="7">
        <f t="shared" ca="1" si="221"/>
        <v>18.18765713318481</v>
      </c>
      <c r="S452" s="7">
        <f t="shared" ca="1" si="221"/>
        <v>18.904488723120746</v>
      </c>
      <c r="T452" s="7">
        <f t="shared" ca="1" si="221"/>
        <v>19.639988055652196</v>
      </c>
      <c r="U452" s="7">
        <f t="shared" ca="1" si="221"/>
        <v>20.394427158578761</v>
      </c>
    </row>
    <row r="453" spans="1:21" ht="15" x14ac:dyDescent="0.25">
      <c r="A453" s="2"/>
      <c r="B453" s="4"/>
      <c r="D453" s="63"/>
      <c r="E453" s="63"/>
      <c r="F453" s="63"/>
      <c r="G453" s="63"/>
      <c r="H453" s="63"/>
      <c r="I453" s="63"/>
      <c r="J453" s="63"/>
      <c r="K453" s="63"/>
      <c r="L453" s="63"/>
      <c r="M453" s="63"/>
      <c r="N453" s="63"/>
      <c r="O453" s="63"/>
      <c r="P453" s="63"/>
      <c r="Q453" s="63"/>
      <c r="R453" s="63"/>
      <c r="S453" s="63"/>
      <c r="T453" s="63"/>
      <c r="U453" s="63"/>
    </row>
    <row r="454" spans="1:21" ht="15" x14ac:dyDescent="0.25">
      <c r="A454" s="18" t="s">
        <v>227</v>
      </c>
      <c r="B454" s="4"/>
      <c r="D454" s="39"/>
      <c r="E454" s="39"/>
      <c r="F454" s="39"/>
      <c r="G454" s="38"/>
      <c r="H454" s="7"/>
      <c r="I454" s="7"/>
      <c r="J454" s="7"/>
      <c r="K454" s="7"/>
      <c r="L454" s="7"/>
      <c r="M454" s="7"/>
      <c r="N454" s="7"/>
      <c r="O454" s="7"/>
      <c r="P454" s="7"/>
      <c r="Q454" s="7"/>
      <c r="R454" s="7"/>
      <c r="S454" s="7"/>
      <c r="T454" s="7"/>
      <c r="U454" s="7"/>
    </row>
    <row r="455" spans="1:21" ht="15" x14ac:dyDescent="0.25">
      <c r="A455" s="2" t="s">
        <v>622</v>
      </c>
      <c r="B455" s="4" t="str">
        <f t="shared" si="217"/>
        <v>From Fiscal</v>
      </c>
      <c r="D455" s="39">
        <f>'Fiscal Forecasts'!D$180</f>
        <v>0.57299999999999995</v>
      </c>
      <c r="E455" s="39">
        <f>'Fiscal Forecasts'!E$180</f>
        <v>0.54600000000000004</v>
      </c>
      <c r="F455" s="39">
        <f>'Fiscal Forecasts'!F$180</f>
        <v>0.50800000000000001</v>
      </c>
      <c r="G455" s="38">
        <f>'Fiscal Forecasts'!G$180</f>
        <v>0.48099999999999998</v>
      </c>
      <c r="H455" s="38">
        <f>'Fiscal Forecasts'!H$180</f>
        <v>0.45300000000000001</v>
      </c>
      <c r="I455" s="38">
        <f>'Fiscal Forecasts'!I$180</f>
        <v>0.42599999999999999</v>
      </c>
      <c r="J455" s="38">
        <f>'Fiscal Forecasts'!J$180</f>
        <v>0.4</v>
      </c>
      <c r="K455" s="38">
        <f>'Fiscal Forecasts'!K$180</f>
        <v>0.373</v>
      </c>
      <c r="L455" s="7">
        <f ca="1">SUM(K$455,L$398-K$398,L$402-K$402)</f>
        <v>0.42646397036288997</v>
      </c>
      <c r="M455" s="7">
        <f t="shared" ref="M455:U455" ca="1" si="222">SUM(L$455,M$398-L$398,M$402-L$402)</f>
        <v>0.48116759553094879</v>
      </c>
      <c r="N455" s="7">
        <f t="shared" ca="1" si="222"/>
        <v>0.53716180099944189</v>
      </c>
      <c r="O455" s="7">
        <f t="shared" ca="1" si="222"/>
        <v>0.59438143556229361</v>
      </c>
      <c r="P455" s="7">
        <f t="shared" ca="1" si="222"/>
        <v>0.65274278480932102</v>
      </c>
      <c r="Q455" s="7">
        <f t="shared" ca="1" si="222"/>
        <v>0.71227737048918049</v>
      </c>
      <c r="R455" s="7">
        <f t="shared" ca="1" si="222"/>
        <v>0.77287591565063385</v>
      </c>
      <c r="S455" s="7">
        <f t="shared" ca="1" si="222"/>
        <v>0.83451023251788037</v>
      </c>
      <c r="T455" s="7">
        <f t="shared" ca="1" si="222"/>
        <v>0.89724604608223624</v>
      </c>
      <c r="U455" s="7">
        <f t="shared" ca="1" si="222"/>
        <v>0.96093803003886058</v>
      </c>
    </row>
    <row r="456" spans="1:21" ht="15" x14ac:dyDescent="0.25">
      <c r="A456" s="2" t="s">
        <v>623</v>
      </c>
      <c r="B456" s="4" t="str">
        <f t="shared" si="217"/>
        <v>From Fiscal</v>
      </c>
      <c r="D456" s="39">
        <f>'Fiscal Forecasts'!D$129</f>
        <v>2.1120000000000001</v>
      </c>
      <c r="E456" s="39">
        <f>'Fiscal Forecasts'!E$129</f>
        <v>2.1779999999999999</v>
      </c>
      <c r="F456" s="39">
        <f>'Fiscal Forecasts'!F$129</f>
        <v>2.2240000000000002</v>
      </c>
      <c r="G456" s="38">
        <f>'Fiscal Forecasts'!G$129</f>
        <v>2.3069999999999999</v>
      </c>
      <c r="H456" s="38">
        <f>'Fiscal Forecasts'!H$129</f>
        <v>2.4140000000000001</v>
      </c>
      <c r="I456" s="38">
        <f>'Fiscal Forecasts'!I$129</f>
        <v>2.4380000000000002</v>
      </c>
      <c r="J456" s="38">
        <f>'Fiscal Forecasts'!J$129</f>
        <v>2.496</v>
      </c>
      <c r="K456" s="38">
        <f>'Fiscal Forecasts'!K$129</f>
        <v>2.5470000000000002</v>
      </c>
      <c r="L456" s="7">
        <f ca="1">SUM(K$456,L$399-K$399,L$403-K$403)</f>
        <v>2.660203888520317</v>
      </c>
      <c r="M456" s="7">
        <f t="shared" ref="M456:U456" ca="1" si="223">SUM(L$456,M$399-L$399,M$403-L$403)</f>
        <v>2.7760326053767161</v>
      </c>
      <c r="N456" s="7">
        <f t="shared" ca="1" si="223"/>
        <v>2.8945939795248434</v>
      </c>
      <c r="O456" s="7">
        <f t="shared" ca="1" si="223"/>
        <v>3.0157500606811807</v>
      </c>
      <c r="P456" s="7">
        <f t="shared" ca="1" si="223"/>
        <v>3.1393235930846322</v>
      </c>
      <c r="Q456" s="7">
        <f t="shared" ca="1" si="223"/>
        <v>3.2653813204599267</v>
      </c>
      <c r="R456" s="7">
        <f t="shared" ca="1" si="223"/>
        <v>3.3936918612669023</v>
      </c>
      <c r="S456" s="7">
        <f t="shared" ca="1" si="223"/>
        <v>3.5241955310899091</v>
      </c>
      <c r="T456" s="7">
        <f t="shared" ca="1" si="223"/>
        <v>3.657031495137582</v>
      </c>
      <c r="U456" s="7">
        <f t="shared" ca="1" si="223"/>
        <v>3.7918920414554846</v>
      </c>
    </row>
    <row r="457" spans="1:21" ht="15" x14ac:dyDescent="0.25">
      <c r="A457" s="2"/>
      <c r="B457" s="4"/>
      <c r="D457" s="14"/>
      <c r="E457" s="14"/>
      <c r="F457" s="14"/>
      <c r="G457" s="55"/>
      <c r="H457" s="55"/>
      <c r="I457" s="55"/>
      <c r="J457" s="55"/>
      <c r="K457" s="55"/>
      <c r="L457" s="55"/>
      <c r="M457" s="55"/>
      <c r="N457" s="55"/>
      <c r="O457" s="55"/>
      <c r="P457" s="55"/>
      <c r="Q457" s="55"/>
      <c r="R457" s="55"/>
      <c r="S457" s="55"/>
      <c r="T457" s="55"/>
      <c r="U457" s="55"/>
    </row>
    <row r="458" spans="1:21" ht="15" x14ac:dyDescent="0.25">
      <c r="A458" s="18" t="s">
        <v>229</v>
      </c>
      <c r="B458" s="4"/>
      <c r="D458" s="39"/>
      <c r="E458" s="39"/>
      <c r="F458" s="39"/>
      <c r="G458" s="38"/>
      <c r="H458" s="38"/>
      <c r="I458" s="38"/>
      <c r="J458" s="38"/>
      <c r="K458" s="38"/>
      <c r="L458" s="7"/>
      <c r="M458" s="7"/>
      <c r="N458" s="7"/>
      <c r="O458" s="7"/>
      <c r="P458" s="7"/>
      <c r="Q458" s="7"/>
      <c r="R458" s="7"/>
      <c r="S458" s="7"/>
      <c r="T458" s="7"/>
      <c r="U458" s="7"/>
    </row>
    <row r="459" spans="1:21" ht="15" x14ac:dyDescent="0.25">
      <c r="A459" s="2" t="s">
        <v>627</v>
      </c>
      <c r="B459" s="4" t="str">
        <f t="shared" si="217"/>
        <v>From Fiscal</v>
      </c>
      <c r="D459" s="14">
        <f>'Fiscal Forecasts'!D$181</f>
        <v>2.3E-2</v>
      </c>
      <c r="E459" s="14">
        <f>'Fiscal Forecasts'!E$181</f>
        <v>0.02</v>
      </c>
      <c r="F459" s="14">
        <f>'Fiscal Forecasts'!F$181</f>
        <v>0.02</v>
      </c>
      <c r="G459" s="15">
        <f>'Fiscal Forecasts'!G$181</f>
        <v>6.6000000000000003E-2</v>
      </c>
      <c r="H459" s="15">
        <f>'Fiscal Forecasts'!H$181</f>
        <v>2E-3</v>
      </c>
      <c r="I459" s="15">
        <f>'Fiscal Forecasts'!I$181</f>
        <v>2E-3</v>
      </c>
      <c r="J459" s="15">
        <f>'Fiscal Forecasts'!J$181</f>
        <v>2E-3</v>
      </c>
      <c r="K459" s="15">
        <f>'Fiscal Forecasts'!K$181</f>
        <v>2E-3</v>
      </c>
      <c r="L459" s="6">
        <f t="shared" ref="L459:U459" ca="1" si="224">K$459*(1+L$23)*(1+L$30)</f>
        <v>2.0592070546654375E-3</v>
      </c>
      <c r="M459" s="6">
        <f t="shared" ca="1" si="224"/>
        <v>2.1197869274982824E-3</v>
      </c>
      <c r="N459" s="6">
        <f t="shared" ca="1" si="224"/>
        <v>2.1817960143958384E-3</v>
      </c>
      <c r="O459" s="6">
        <f t="shared" ca="1" si="224"/>
        <v>2.2451621656282327E-3</v>
      </c>
      <c r="P459" s="6">
        <f t="shared" ca="1" si="224"/>
        <v>2.3097926742074435E-3</v>
      </c>
      <c r="Q459" s="6">
        <f t="shared" ca="1" si="224"/>
        <v>2.3757224479392922E-3</v>
      </c>
      <c r="R459" s="6">
        <f t="shared" ca="1" si="224"/>
        <v>2.442830471373903E-3</v>
      </c>
      <c r="S459" s="6">
        <f t="shared" ca="1" si="224"/>
        <v>2.5110855288127147E-3</v>
      </c>
      <c r="T459" s="6">
        <f t="shared" ca="1" si="224"/>
        <v>2.5805604054066856E-3</v>
      </c>
      <c r="U459" s="6">
        <f t="shared" ca="1" si="224"/>
        <v>2.6510941639411533E-3</v>
      </c>
    </row>
    <row r="460" spans="1:21" x14ac:dyDescent="0.2">
      <c r="A460" s="1" t="s">
        <v>624</v>
      </c>
      <c r="B460" s="4" t="str">
        <f t="shared" si="217"/>
        <v>From Fiscal</v>
      </c>
      <c r="D460" s="14">
        <f>'Fiscal Forecasts'!D$360</f>
        <v>32.518000000000001</v>
      </c>
      <c r="E460" s="14">
        <f>'Fiscal Forecasts'!E$360</f>
        <v>39.106000000000002</v>
      </c>
      <c r="F460" s="14">
        <f>'Fiscal Forecasts'!F$360</f>
        <v>40.287999999999997</v>
      </c>
      <c r="G460" s="15">
        <f>'Fiscal Forecasts'!G$360</f>
        <v>42.725000000000001</v>
      </c>
      <c r="H460" s="15">
        <f>'Fiscal Forecasts'!H$360</f>
        <v>44.284999999999997</v>
      </c>
      <c r="I460" s="15">
        <f>'Fiscal Forecasts'!I$360</f>
        <v>45.959000000000003</v>
      </c>
      <c r="J460" s="15">
        <f>'Fiscal Forecasts'!J$360</f>
        <v>47.902000000000001</v>
      </c>
      <c r="K460" s="15">
        <f>'Fiscal Forecasts'!K$360</f>
        <v>49.941000000000003</v>
      </c>
      <c r="L460" s="6">
        <f>K$460*Exogenous!S$29/Exogenous!R$29</f>
        <v>51.987204050686742</v>
      </c>
      <c r="M460" s="6">
        <f>L$460*Exogenous!T$29/Exogenous!S$29</f>
        <v>54.126226011608857</v>
      </c>
      <c r="N460" s="6">
        <f>M$460*Exogenous!U$29/Exogenous!T$29</f>
        <v>56.400837266447468</v>
      </c>
      <c r="O460" s="6">
        <f>N$460*Exogenous!V$29/Exogenous!U$29</f>
        <v>58.811451802717698</v>
      </c>
      <c r="P460" s="6">
        <f>O$460*Exogenous!W$29/Exogenous!V$29</f>
        <v>61.354229898803631</v>
      </c>
      <c r="Q460" s="6">
        <f>P$460*Exogenous!X$29/Exogenous!W$29</f>
        <v>64.038447218995955</v>
      </c>
      <c r="R460" s="6">
        <f>Q$460*Exogenous!Y$29/Exogenous!X$29</f>
        <v>66.841922405956197</v>
      </c>
      <c r="S460" s="6">
        <f>R$460*Exogenous!Z$29/Exogenous!Y$29</f>
        <v>69.807972194980223</v>
      </c>
      <c r="T460" s="6">
        <f>S$460*Exogenous!AA$29/Exogenous!Z$29</f>
        <v>72.942203614786962</v>
      </c>
      <c r="U460" s="6">
        <f>T$460*Exogenous!AB$29/Exogenous!AA$29</f>
        <v>76.24773699333349</v>
      </c>
    </row>
    <row r="461" spans="1:21" x14ac:dyDescent="0.2">
      <c r="A461" s="1" t="s">
        <v>625</v>
      </c>
      <c r="B461" s="4" t="str">
        <f t="shared" si="217"/>
        <v>From Fiscal</v>
      </c>
      <c r="D461" s="14">
        <f>SUM('Fiscal Forecasts'!D$361:D$362)-D$459</f>
        <v>3.8899999999999997</v>
      </c>
      <c r="E461" s="14">
        <f>SUM('Fiscal Forecasts'!E$361:E$362)-E$459</f>
        <v>3</v>
      </c>
      <c r="F461" s="14">
        <f>SUM('Fiscal Forecasts'!F$361:F$362)-F$459</f>
        <v>2.4780000000000002</v>
      </c>
      <c r="G461" s="15">
        <f>SUM('Fiscal Forecasts'!G$361:G$362)-G$459</f>
        <v>1.3180000000000001</v>
      </c>
      <c r="H461" s="15">
        <f>SUM('Fiscal Forecasts'!H$361:H$362)-H$459</f>
        <v>0.44499999999999995</v>
      </c>
      <c r="I461" s="15">
        <f>SUM('Fiscal Forecasts'!I$361:I$362)-I$459</f>
        <v>0.309</v>
      </c>
      <c r="J461" s="15">
        <f>SUM('Fiscal Forecasts'!J$361:J$362)-J$459</f>
        <v>0.29199999999999998</v>
      </c>
      <c r="K461" s="15">
        <f>SUM('Fiscal Forecasts'!K$361:K$362)-K$459</f>
        <v>0.29099999999999998</v>
      </c>
      <c r="L461" s="6">
        <f ca="1">(K$461/K$13+ IF(L$2&gt;0,L$2*IF(L$6=OFFSET(Assumptions!$B$8,0,$C$1),SUMPRODUCT(OFFSET(K$461,0,0,1,-OFFSET(Assumptions!$B$84,0,$C$1)),OFFSET(K$15,0,0,1,-OFFSET(Assumptions!$B$84,0,$C$1)))/OFFSET(Assumptions!$B$84,0,$C$1)-K$461/K$13,(K$461/K$13-J$461/J$13)/K$2),0))*L$13</f>
        <v>0.3117364781010909</v>
      </c>
      <c r="M461" s="6">
        <f ca="1">(L$461/L$13+ IF(M$2&gt;0,M$2*IF(M$6=OFFSET(Assumptions!$B$8,0,$C$1),SUMPRODUCT(OFFSET(L$461,0,0,1,-OFFSET(Assumptions!$B$84,0,$C$1)),OFFSET(L$15,0,0,1,-OFFSET(Assumptions!$B$84,0,$C$1)))/OFFSET(Assumptions!$B$84,0,$C$1)-L$461/L$13,(L$461/L$13-K$461/K$13)/L$2),0))*M$13</f>
        <v>0.33188047306897672</v>
      </c>
      <c r="N461" s="6">
        <f ca="1">(M$461/M$13+ IF(N$2&gt;0,N$2*IF(N$6=OFFSET(Assumptions!$B$8,0,$C$1),SUMPRODUCT(OFFSET(M$461,0,0,1,-OFFSET(Assumptions!$B$84,0,$C$1)),OFFSET(M$15,0,0,1,-OFFSET(Assumptions!$B$84,0,$C$1)))/OFFSET(Assumptions!$B$84,0,$C$1)-M$461/M$13,(M$461/M$13-L$461/L$13)/M$2),0))*N$13</f>
        <v>0.35131424098869413</v>
      </c>
      <c r="O461" s="6">
        <f ca="1">(N$461/N$13+ IF(O$2&gt;0,O$2*IF(O$6=OFFSET(Assumptions!$B$8,0,$C$1),SUMPRODUCT(OFFSET(N$461,0,0,1,-OFFSET(Assumptions!$B$84,0,$C$1)),OFFSET(N$15,0,0,1,-OFFSET(Assumptions!$B$84,0,$C$1)))/OFFSET(Assumptions!$B$84,0,$C$1)-N$461/N$13,(N$461/N$13-M$461/M$13)/N$2),0))*O$13</f>
        <v>0.36991684218622117</v>
      </c>
      <c r="P461" s="6">
        <f ca="1">(O$461/O$13+ IF(P$2&gt;0,P$2*IF(P$6=OFFSET(Assumptions!$B$8,0,$C$1),SUMPRODUCT(OFFSET(O$461,0,0,1,-OFFSET(Assumptions!$B$84,0,$C$1)),OFFSET(O$15,0,0,1,-OFFSET(Assumptions!$B$84,0,$C$1)))/OFFSET(Assumptions!$B$84,0,$C$1)-O$461/O$13,(O$461/O$13-N$461/N$13)/O$2),0))*P$13</f>
        <v>0.38763519989465184</v>
      </c>
      <c r="Q461" s="6">
        <f ca="1">(P$461/P$13+ IF(Q$2&gt;0,Q$2*IF(Q$6=OFFSET(Assumptions!$B$8,0,$C$1),SUMPRODUCT(OFFSET(P$461,0,0,1,-OFFSET(Assumptions!$B$84,0,$C$1)),OFFSET(P$15,0,0,1,-OFFSET(Assumptions!$B$84,0,$C$1)))/OFFSET(Assumptions!$B$84,0,$C$1)-P$461/P$13,(P$461/P$13-O$461/O$13)/P$2),0))*Q$13</f>
        <v>0.40429171494017724</v>
      </c>
      <c r="R461" s="6">
        <f ca="1">(Q$461/Q$13+ IF(R$2&gt;0,R$2*IF(R$6=OFFSET(Assumptions!$B$8,0,$C$1),SUMPRODUCT(OFFSET(Q$461,0,0,1,-OFFSET(Assumptions!$B$84,0,$C$1)),OFFSET(Q$15,0,0,1,-OFFSET(Assumptions!$B$84,0,$C$1)))/OFFSET(Assumptions!$B$84,0,$C$1)-Q$461/Q$13,(Q$461/Q$13-P$461/P$13)/Q$2),0))*R$13</f>
        <v>0.42147405545397487</v>
      </c>
      <c r="S461" s="6">
        <f ca="1">(R$461/R$13+ IF(S$2&gt;0,S$2*IF(S$6=OFFSET(Assumptions!$B$8,0,$C$1),SUMPRODUCT(OFFSET(R$461,0,0,1,-OFFSET(Assumptions!$B$84,0,$C$1)),OFFSET(R$15,0,0,1,-OFFSET(Assumptions!$B$84,0,$C$1)))/OFFSET(Assumptions!$B$84,0,$C$1)-R$461/R$13,(R$461/R$13-Q$461/Q$13)/R$2),0))*S$13</f>
        <v>0.43923339532483857</v>
      </c>
      <c r="T461" s="6">
        <f ca="1">(S$461/S$13+ IF(T$2&gt;0,T$2*IF(T$6=OFFSET(Assumptions!$B$8,0,$C$1),SUMPRODUCT(OFFSET(S$461,0,0,1,-OFFSET(Assumptions!$B$84,0,$C$1)),OFFSET(S$15,0,0,1,-OFFSET(Assumptions!$B$84,0,$C$1)))/OFFSET(Assumptions!$B$84,0,$C$1)-S$461/S$13,(S$461/S$13-R$461/R$13)/S$2),0))*T$13</f>
        <v>0.45758589518035869</v>
      </c>
      <c r="U461" s="6">
        <f ca="1">(T$461/T$13+ IF(U$2&gt;0,U$2*IF(U$6=OFFSET(Assumptions!$B$8,0,$C$1),SUMPRODUCT(OFFSET(T$461,0,0,1,-OFFSET(Assumptions!$B$84,0,$C$1)),OFFSET(T$15,0,0,1,-OFFSET(Assumptions!$B$84,0,$C$1)))/OFFSET(Assumptions!$B$84,0,$C$1)-T$461/T$13,(T$461/T$13-S$461/S$13)/T$2),0))*U$13</f>
        <v>0.47658703355098603</v>
      </c>
    </row>
    <row r="462" spans="1:21" ht="15" x14ac:dyDescent="0.25">
      <c r="A462" s="2" t="s">
        <v>626</v>
      </c>
      <c r="B462" s="4"/>
      <c r="D462" s="34">
        <f t="shared" ref="D462:U462" si="225">SUM(D$459:D$461)</f>
        <v>36.431000000000004</v>
      </c>
      <c r="E462" s="34">
        <f t="shared" si="225"/>
        <v>42.126000000000005</v>
      </c>
      <c r="F462" s="34">
        <f t="shared" si="225"/>
        <v>42.786000000000001</v>
      </c>
      <c r="G462" s="33">
        <f t="shared" si="225"/>
        <v>44.109000000000002</v>
      </c>
      <c r="H462" s="33">
        <f t="shared" si="225"/>
        <v>44.731999999999999</v>
      </c>
      <c r="I462" s="33">
        <f t="shared" si="225"/>
        <v>46.27</v>
      </c>
      <c r="J462" s="33">
        <f t="shared" si="225"/>
        <v>48.196000000000005</v>
      </c>
      <c r="K462" s="33">
        <f t="shared" si="225"/>
        <v>50.234000000000002</v>
      </c>
      <c r="L462" s="37">
        <f t="shared" ca="1" si="225"/>
        <v>52.300999735842495</v>
      </c>
      <c r="M462" s="37">
        <f t="shared" ca="1" si="225"/>
        <v>54.460226271605336</v>
      </c>
      <c r="N462" s="37">
        <f t="shared" ca="1" si="225"/>
        <v>56.754333303450558</v>
      </c>
      <c r="O462" s="37">
        <f t="shared" ca="1" si="225"/>
        <v>59.183613807069548</v>
      </c>
      <c r="P462" s="37">
        <f t="shared" ca="1" si="225"/>
        <v>61.744174891372488</v>
      </c>
      <c r="Q462" s="37">
        <f t="shared" ca="1" si="225"/>
        <v>64.445114656384064</v>
      </c>
      <c r="R462" s="37">
        <f t="shared" ca="1" si="225"/>
        <v>67.265839291881548</v>
      </c>
      <c r="S462" s="37">
        <f t="shared" ca="1" si="225"/>
        <v>70.249716675833866</v>
      </c>
      <c r="T462" s="37">
        <f t="shared" ca="1" si="225"/>
        <v>73.402370070372726</v>
      </c>
      <c r="U462" s="37">
        <f t="shared" ca="1" si="225"/>
        <v>76.726975121048412</v>
      </c>
    </row>
    <row r="463" spans="1:21" ht="15" x14ac:dyDescent="0.25">
      <c r="A463" s="2"/>
      <c r="B463" s="4"/>
      <c r="D463" s="46"/>
      <c r="E463" s="46"/>
      <c r="F463" s="46"/>
      <c r="G463" s="47"/>
      <c r="H463" s="47"/>
      <c r="I463" s="47"/>
      <c r="J463" s="47"/>
      <c r="K463" s="47"/>
      <c r="L463" s="48"/>
      <c r="M463" s="48"/>
      <c r="N463" s="48"/>
      <c r="O463" s="48"/>
      <c r="P463" s="48"/>
      <c r="Q463" s="48"/>
      <c r="R463" s="48"/>
      <c r="S463" s="48"/>
      <c r="T463" s="48"/>
      <c r="U463" s="48"/>
    </row>
    <row r="464" spans="1:21" ht="15" x14ac:dyDescent="0.25">
      <c r="A464" s="18" t="s">
        <v>628</v>
      </c>
      <c r="B464" s="4"/>
      <c r="D464" s="46"/>
      <c r="E464" s="46"/>
      <c r="F464" s="46"/>
      <c r="G464" s="47"/>
      <c r="H464" s="47"/>
      <c r="I464" s="47"/>
      <c r="J464" s="47"/>
      <c r="K464" s="47"/>
      <c r="L464" s="48"/>
      <c r="M464" s="48"/>
      <c r="N464" s="48"/>
      <c r="O464" s="48"/>
      <c r="P464" s="48"/>
      <c r="Q464" s="48"/>
      <c r="R464" s="48"/>
      <c r="S464" s="48"/>
      <c r="T464" s="48"/>
      <c r="U464" s="48"/>
    </row>
    <row r="465" spans="1:21" ht="15" x14ac:dyDescent="0.25">
      <c r="A465" s="2" t="s">
        <v>629</v>
      </c>
      <c r="B465" s="4" t="str">
        <f>$B$37</f>
        <v>From Fiscal</v>
      </c>
      <c r="D465" s="14">
        <f>'Fiscal Forecasts'!D$182</f>
        <v>10.843999999999999</v>
      </c>
      <c r="E465" s="14">
        <f>'Fiscal Forecasts'!E$182</f>
        <v>12.443</v>
      </c>
      <c r="F465" s="14">
        <f>'Fiscal Forecasts'!F$182</f>
        <v>11.004</v>
      </c>
      <c r="G465" s="15">
        <f>'Fiscal Forecasts'!G$182</f>
        <v>10.577</v>
      </c>
      <c r="H465" s="15">
        <f>'Fiscal Forecasts'!H$182</f>
        <v>9.9849999999999994</v>
      </c>
      <c r="I465" s="15">
        <f>'Fiscal Forecasts'!I$182</f>
        <v>9.4130000000000003</v>
      </c>
      <c r="J465" s="15">
        <f>'Fiscal Forecasts'!J$182</f>
        <v>8.8729999999999993</v>
      </c>
      <c r="K465" s="15">
        <f>'Fiscal Forecasts'!K$182</f>
        <v>8.359</v>
      </c>
      <c r="L465" s="6">
        <f>K$465*(Exogenous!S$34-Exogenous!S$33)/(Exogenous!R$34-Exogenous!R$33)</f>
        <v>8.0733186059584057</v>
      </c>
      <c r="M465" s="6">
        <f>L$465*(Exogenous!T$34-Exogenous!T$33)/(Exogenous!S$34-Exogenous!S$33)</f>
        <v>7.7913961776278811</v>
      </c>
      <c r="N465" s="6">
        <f>M$465*(Exogenous!U$34-Exogenous!U$33)/(Exogenous!T$34-Exogenous!T$33)</f>
        <v>7.514172456436202</v>
      </c>
      <c r="O465" s="6">
        <f>N$465*(Exogenous!V$34-Exogenous!V$33)/(Exogenous!U$34-Exogenous!U$33)</f>
        <v>7.2454064080944374</v>
      </c>
      <c r="P465" s="6">
        <f>O$465*(Exogenous!W$34-Exogenous!W$33)/(Exogenous!V$34-Exogenous!V$33)</f>
        <v>6.9822788083192817</v>
      </c>
      <c r="Q465" s="6">
        <f>P$465*(Exogenous!X$34-Exogenous!X$33)/(Exogenous!W$34-Exogenous!W$33)</f>
        <v>6.7219704328274332</v>
      </c>
      <c r="R465" s="6">
        <f>Q$465*(Exogenous!Y$34-Exogenous!Y$33)/(Exogenous!X$34-Exogenous!X$33)</f>
        <v>6.4550838673412043</v>
      </c>
      <c r="S465" s="6">
        <f>R$465*(Exogenous!Z$34-Exogenous!Z$33)/(Exogenous!Y$34-Exogenous!Y$33)</f>
        <v>6.1834985947161352</v>
      </c>
      <c r="T465" s="6">
        <f>S$465*(Exogenous!AA$34-Exogenous!AA$33)/(Exogenous!Z$34-Exogenous!Z$33)</f>
        <v>5.9062748735244535</v>
      </c>
      <c r="U465" s="6">
        <f>T$465*(Exogenous!AB$34-Exogenous!AB$33)/(Exogenous!AA$34-Exogenous!AA$33)</f>
        <v>5.6262319280494681</v>
      </c>
    </row>
    <row r="466" spans="1:21" x14ac:dyDescent="0.2">
      <c r="A466" s="1" t="s">
        <v>630</v>
      </c>
      <c r="B466" s="4" t="str">
        <f>$B$37</f>
        <v>From Fiscal</v>
      </c>
      <c r="D466" s="14">
        <f>'Fiscal Forecasts'!D$132-D$465</f>
        <v>-9.9999999999997868E-3</v>
      </c>
      <c r="E466" s="14">
        <f>'Fiscal Forecasts'!E$132-E$465</f>
        <v>-9.9999999999944578E-4</v>
      </c>
      <c r="F466" s="14">
        <f>'Fiscal Forecasts'!F$132-F$465</f>
        <v>2.0000000000006679E-3</v>
      </c>
      <c r="G466" s="15">
        <f>'Fiscal Forecasts'!G$132-G$465</f>
        <v>2.0000000000006679E-3</v>
      </c>
      <c r="H466" s="15">
        <f>'Fiscal Forecasts'!H$132-H$465</f>
        <v>2.0000000000006679E-3</v>
      </c>
      <c r="I466" s="15">
        <f>'Fiscal Forecasts'!I$132-I$465</f>
        <v>1.9999999999988916E-3</v>
      </c>
      <c r="J466" s="15">
        <f>'Fiscal Forecasts'!J$132-J$465</f>
        <v>2.0000000000006679E-3</v>
      </c>
      <c r="K466" s="15">
        <f>'Fiscal Forecasts'!K$132-K$465</f>
        <v>2.0000000000006679E-3</v>
      </c>
      <c r="L466" s="6">
        <f ca="1">IF(L$6=OFFSET(Assumptions!$B$8,0,$C$1),0,K$466)</f>
        <v>0</v>
      </c>
      <c r="M466" s="6">
        <f ca="1">IF(M$6=OFFSET(Assumptions!$B$8,0,$C$1),0,L$466)</f>
        <v>0</v>
      </c>
      <c r="N466" s="6">
        <f ca="1">IF(N$6=OFFSET(Assumptions!$B$8,0,$C$1),0,M$466)</f>
        <v>0</v>
      </c>
      <c r="O466" s="6">
        <f ca="1">IF(O$6=OFFSET(Assumptions!$B$8,0,$C$1),0,N$466)</f>
        <v>0</v>
      </c>
      <c r="P466" s="6">
        <f ca="1">IF(P$6=OFFSET(Assumptions!$B$8,0,$C$1),0,O$466)</f>
        <v>0</v>
      </c>
      <c r="Q466" s="6">
        <f ca="1">IF(Q$6=OFFSET(Assumptions!$B$8,0,$C$1),0,P$466)</f>
        <v>0</v>
      </c>
      <c r="R466" s="6">
        <f ca="1">IF(R$6=OFFSET(Assumptions!$B$8,0,$C$1),0,Q$466)</f>
        <v>0</v>
      </c>
      <c r="S466" s="6">
        <f ca="1">IF(S$6=OFFSET(Assumptions!$B$8,0,$C$1),0,R$466)</f>
        <v>0</v>
      </c>
      <c r="T466" s="6">
        <f ca="1">IF(T$6=OFFSET(Assumptions!$B$8,0,$C$1),0,S$466)</f>
        <v>0</v>
      </c>
      <c r="U466" s="6">
        <f ca="1">IF(U$6=OFFSET(Assumptions!$B$8,0,$C$1),0,T$466)</f>
        <v>0</v>
      </c>
    </row>
    <row r="467" spans="1:21" ht="15" x14ac:dyDescent="0.25">
      <c r="A467" s="2" t="s">
        <v>631</v>
      </c>
      <c r="B467" s="4"/>
      <c r="D467" s="34">
        <f t="shared" ref="D467:U467" si="226">SUM(D$465:D$466)</f>
        <v>10.834</v>
      </c>
      <c r="E467" s="34">
        <f t="shared" si="226"/>
        <v>12.442</v>
      </c>
      <c r="F467" s="34">
        <f t="shared" si="226"/>
        <v>11.006</v>
      </c>
      <c r="G467" s="33">
        <f t="shared" si="226"/>
        <v>10.579000000000001</v>
      </c>
      <c r="H467" s="33">
        <f t="shared" si="226"/>
        <v>9.9870000000000001</v>
      </c>
      <c r="I467" s="33">
        <f t="shared" si="226"/>
        <v>9.4149999999999991</v>
      </c>
      <c r="J467" s="33">
        <f t="shared" si="226"/>
        <v>8.875</v>
      </c>
      <c r="K467" s="33">
        <f t="shared" si="226"/>
        <v>8.3610000000000007</v>
      </c>
      <c r="L467" s="37">
        <f t="shared" ca="1" si="226"/>
        <v>8.0733186059584057</v>
      </c>
      <c r="M467" s="37">
        <f t="shared" ca="1" si="226"/>
        <v>7.7913961776278811</v>
      </c>
      <c r="N467" s="37">
        <f t="shared" ca="1" si="226"/>
        <v>7.514172456436202</v>
      </c>
      <c r="O467" s="37">
        <f t="shared" ca="1" si="226"/>
        <v>7.2454064080944374</v>
      </c>
      <c r="P467" s="37">
        <f t="shared" ca="1" si="226"/>
        <v>6.9822788083192817</v>
      </c>
      <c r="Q467" s="37">
        <f t="shared" ca="1" si="226"/>
        <v>6.7219704328274332</v>
      </c>
      <c r="R467" s="37">
        <f t="shared" ca="1" si="226"/>
        <v>6.4550838673412043</v>
      </c>
      <c r="S467" s="37">
        <f t="shared" ca="1" si="226"/>
        <v>6.1834985947161352</v>
      </c>
      <c r="T467" s="37">
        <f t="shared" ca="1" si="226"/>
        <v>5.9062748735244535</v>
      </c>
      <c r="U467" s="37">
        <f t="shared" ca="1" si="226"/>
        <v>5.6262319280494681</v>
      </c>
    </row>
    <row r="468" spans="1:21" ht="15" x14ac:dyDescent="0.25">
      <c r="A468" s="2"/>
      <c r="B468" s="4"/>
      <c r="D468" s="46"/>
      <c r="E468" s="46"/>
      <c r="F468" s="46"/>
      <c r="G468" s="47"/>
      <c r="H468" s="47"/>
      <c r="I468" s="47"/>
      <c r="J468" s="47"/>
      <c r="K468" s="47"/>
      <c r="L468" s="48"/>
      <c r="M468" s="48"/>
      <c r="N468" s="48"/>
      <c r="O468" s="48"/>
      <c r="P468" s="48"/>
      <c r="Q468" s="48"/>
      <c r="R468" s="48"/>
      <c r="S468" s="48"/>
      <c r="T468" s="48"/>
      <c r="U468" s="48"/>
    </row>
    <row r="469" spans="1:21" x14ac:dyDescent="0.2">
      <c r="A469" s="18" t="s">
        <v>231</v>
      </c>
      <c r="B469" s="4"/>
    </row>
    <row r="470" spans="1:21" ht="15" x14ac:dyDescent="0.25">
      <c r="A470" s="2" t="s">
        <v>632</v>
      </c>
      <c r="B470" s="4" t="str">
        <f>$B$37</f>
        <v>From Fiscal</v>
      </c>
      <c r="D470" s="46">
        <f>'Fiscal Forecasts'!D$183</f>
        <v>4.8550000000000004</v>
      </c>
      <c r="E470" s="46">
        <f>'Fiscal Forecasts'!E$183</f>
        <v>6.633</v>
      </c>
      <c r="F470" s="46">
        <f>'Fiscal Forecasts'!F$183</f>
        <v>6.5330000000000004</v>
      </c>
      <c r="G470" s="38">
        <f>'Fiscal Forecasts'!G$183</f>
        <v>6.6589999999999998</v>
      </c>
      <c r="H470" s="38">
        <f>'Fiscal Forecasts'!H$183</f>
        <v>5.9729999999999999</v>
      </c>
      <c r="I470" s="38">
        <f>'Fiscal Forecasts'!I$183</f>
        <v>5.3739999999999997</v>
      </c>
      <c r="J470" s="38">
        <f>'Fiscal Forecasts'!J$183</f>
        <v>5.2320000000000002</v>
      </c>
      <c r="K470" s="38">
        <f>'Fiscal Forecasts'!K$183</f>
        <v>4.657</v>
      </c>
      <c r="L470" s="7">
        <f t="shared" ref="L470:U470" ca="1" si="227">K$470*(1+L$23)*(1+L$30)</f>
        <v>4.7948636267884712</v>
      </c>
      <c r="M470" s="7">
        <f t="shared" ca="1" si="227"/>
        <v>4.9359238606797504</v>
      </c>
      <c r="N470" s="7">
        <f t="shared" ca="1" si="227"/>
        <v>5.0803120195207097</v>
      </c>
      <c r="O470" s="7">
        <f t="shared" ca="1" si="227"/>
        <v>5.2278601026653391</v>
      </c>
      <c r="P470" s="7">
        <f t="shared" ca="1" si="227"/>
        <v>5.3783522418920322</v>
      </c>
      <c r="Q470" s="7">
        <f t="shared" ca="1" si="227"/>
        <v>5.5318697200266413</v>
      </c>
      <c r="R470" s="7">
        <f t="shared" ca="1" si="227"/>
        <v>5.688130752594132</v>
      </c>
      <c r="S470" s="7">
        <f t="shared" ca="1" si="227"/>
        <v>5.8470626538404042</v>
      </c>
      <c r="T470" s="7">
        <f t="shared" ca="1" si="227"/>
        <v>6.0088349039894657</v>
      </c>
      <c r="U470" s="7">
        <f t="shared" ca="1" si="227"/>
        <v>6.1730727607369742</v>
      </c>
    </row>
    <row r="471" spans="1:21" ht="15" x14ac:dyDescent="0.25">
      <c r="A471" s="2" t="s">
        <v>633</v>
      </c>
      <c r="B471" s="4" t="str">
        <f>$B$37</f>
        <v>From Fiscal</v>
      </c>
      <c r="D471" s="46">
        <f>'Fiscal Forecasts'!D$133</f>
        <v>7.2210000000000001</v>
      </c>
      <c r="E471" s="46">
        <f>'Fiscal Forecasts'!E$133</f>
        <v>8.7119999999999997</v>
      </c>
      <c r="F471" s="46">
        <f>'Fiscal Forecasts'!F$133</f>
        <v>8.5410000000000004</v>
      </c>
      <c r="G471" s="38">
        <f>'Fiscal Forecasts'!G$133</f>
        <v>8.9049999999999994</v>
      </c>
      <c r="H471" s="38">
        <f>'Fiscal Forecasts'!H$133</f>
        <v>8.4730000000000008</v>
      </c>
      <c r="I471" s="38">
        <f>'Fiscal Forecasts'!I$133</f>
        <v>8.0540000000000003</v>
      </c>
      <c r="J471" s="38">
        <f>'Fiscal Forecasts'!J$133</f>
        <v>7.9550000000000001</v>
      </c>
      <c r="K471" s="38">
        <f>'Fiscal Forecasts'!K$133</f>
        <v>7.069</v>
      </c>
      <c r="L471" s="7">
        <f t="shared" ref="L471:U471" ca="1" si="228">L$470+(K$471-K$470)*(1+L$23)*(1+L$30)</f>
        <v>7.2782673347149895</v>
      </c>
      <c r="M471" s="7">
        <f t="shared" ca="1" si="228"/>
        <v>7.4923868952426798</v>
      </c>
      <c r="N471" s="7">
        <f t="shared" ca="1" si="228"/>
        <v>7.711558012882092</v>
      </c>
      <c r="O471" s="7">
        <f t="shared" ca="1" si="228"/>
        <v>7.9355256744129878</v>
      </c>
      <c r="P471" s="7">
        <f t="shared" ca="1" si="228"/>
        <v>8.1639622069862092</v>
      </c>
      <c r="Q471" s="7">
        <f t="shared" ca="1" si="228"/>
        <v>8.3969909922414274</v>
      </c>
      <c r="R471" s="7">
        <f t="shared" ca="1" si="228"/>
        <v>8.6341843010710591</v>
      </c>
      <c r="S471" s="7">
        <f t="shared" ca="1" si="228"/>
        <v>8.8754318015885367</v>
      </c>
      <c r="T471" s="7">
        <f t="shared" ca="1" si="228"/>
        <v>9.1209907529099272</v>
      </c>
      <c r="U471" s="7">
        <f t="shared" ca="1" si="228"/>
        <v>9.3702923224500037</v>
      </c>
    </row>
    <row r="473" spans="1:21" x14ac:dyDescent="0.2">
      <c r="A473" s="18" t="s">
        <v>561</v>
      </c>
    </row>
    <row r="474" spans="1:21" x14ac:dyDescent="0.2">
      <c r="A474" s="1" t="s">
        <v>378</v>
      </c>
      <c r="B474" s="4" t="str">
        <f t="shared" ref="B474:B479" si="229">$B$37</f>
        <v>From Fiscal</v>
      </c>
      <c r="D474" s="14">
        <f>'Fiscal Forecasts'!D$366</f>
        <v>66.347999999999999</v>
      </c>
      <c r="E474" s="14">
        <f>'Fiscal Forecasts'!E$366</f>
        <v>69.75</v>
      </c>
      <c r="F474" s="14">
        <f>'Fiscal Forecasts'!F$366</f>
        <v>74.728999999999999</v>
      </c>
      <c r="G474" s="15">
        <f>'Fiscal Forecasts'!G$366 +IF($C$2="Yes",SUM('Fiscal Forecast Adjuster'!C$8:C$12)/1000,0)</f>
        <v>79.444999999999993</v>
      </c>
      <c r="H474" s="15">
        <f>'Fiscal Forecasts'!H$366 +IF($C$2="Yes",SUM('Fiscal Forecast Adjuster'!D$8:D$12)/1000,0)</f>
        <v>83.525000000000006</v>
      </c>
      <c r="I474" s="15">
        <f>'Fiscal Forecasts'!I$366 +IF($C$2="Yes",SUM('Fiscal Forecast Adjuster'!E$8:E$12)/1000,0)</f>
        <v>88.677000000000007</v>
      </c>
      <c r="J474" s="15">
        <f>'Fiscal Forecasts'!J$366 +IF($C$2="Yes",SUM('Fiscal Forecast Adjuster'!F$8:F$12)/1000,0)</f>
        <v>93.591999999999999</v>
      </c>
      <c r="K474" s="15">
        <f>'Fiscal Forecasts'!K$366 +IF($C$2="Yes",SUM('Fiscal Forecast Adjuster'!G$8:G$12)/1000,0)</f>
        <v>98.763999999999996</v>
      </c>
      <c r="L474" s="6">
        <f ca="1">SUM(L$132,L$367,L$449-K$449)-SUM(L$342-K$342,L$264)</f>
        <v>103.1871724800779</v>
      </c>
      <c r="M474" s="6">
        <f t="shared" ref="M474:U474" ca="1" si="230">SUM(M$132,M$367,M$449-L$449)-SUM(M$342-L$342,M$264)</f>
        <v>108.27972086193905</v>
      </c>
      <c r="N474" s="6">
        <f t="shared" ca="1" si="230"/>
        <v>113.23255856573542</v>
      </c>
      <c r="O474" s="6">
        <f t="shared" ca="1" si="230"/>
        <v>118.28611178165134</v>
      </c>
      <c r="P474" s="6">
        <f t="shared" ca="1" si="230"/>
        <v>123.51286385003895</v>
      </c>
      <c r="Q474" s="6">
        <f t="shared" ca="1" si="230"/>
        <v>128.88327479151457</v>
      </c>
      <c r="R474" s="6">
        <f t="shared" ca="1" si="230"/>
        <v>134.42089554166284</v>
      </c>
      <c r="S474" s="6">
        <f t="shared" ca="1" si="230"/>
        <v>140.14210781689297</v>
      </c>
      <c r="T474" s="6">
        <f t="shared" ca="1" si="230"/>
        <v>146.05360549232321</v>
      </c>
      <c r="U474" s="6">
        <f t="shared" ca="1" si="230"/>
        <v>152.17200387241843</v>
      </c>
    </row>
    <row r="475" spans="1:21" x14ac:dyDescent="0.2">
      <c r="A475" s="1" t="s">
        <v>176</v>
      </c>
      <c r="B475" s="4" t="str">
        <f t="shared" si="229"/>
        <v>From Fiscal</v>
      </c>
      <c r="D475" s="14">
        <f>'Fiscal Forecasts'!D$367</f>
        <v>0.88900000000000001</v>
      </c>
      <c r="E475" s="14">
        <f>'Fiscal Forecasts'!E$367</f>
        <v>0.83499999999999996</v>
      </c>
      <c r="F475" s="14">
        <f>'Fiscal Forecasts'!F$367</f>
        <v>0.95499999999999996</v>
      </c>
      <c r="G475" s="15">
        <f>'Fiscal Forecasts'!G$367</f>
        <v>0.94399999999999995</v>
      </c>
      <c r="H475" s="15">
        <f>'Fiscal Forecasts'!H$367</f>
        <v>0.95199999999999996</v>
      </c>
      <c r="I475" s="15">
        <f>'Fiscal Forecasts'!I$367</f>
        <v>0.92100000000000004</v>
      </c>
      <c r="J475" s="15">
        <f>'Fiscal Forecasts'!J$367</f>
        <v>0.91900000000000004</v>
      </c>
      <c r="K475" s="15">
        <f>'Fiscal Forecasts'!K$367</f>
        <v>0.93200000000000005</v>
      </c>
      <c r="L475" s="6">
        <f ca="1">L$136</f>
        <v>1.0076951954222257</v>
      </c>
      <c r="M475" s="6">
        <f t="shared" ref="M475:U475" ca="1" si="231">M$136</f>
        <v>1.0536419986298213</v>
      </c>
      <c r="N475" s="6">
        <f t="shared" ca="1" si="231"/>
        <v>1.1005905047296278</v>
      </c>
      <c r="O475" s="6">
        <f t="shared" ca="1" si="231"/>
        <v>1.1487411709561992</v>
      </c>
      <c r="P475" s="6">
        <f t="shared" ca="1" si="231"/>
        <v>1.198526938178313</v>
      </c>
      <c r="Q475" s="6">
        <f t="shared" ca="1" si="231"/>
        <v>1.2500271166545196</v>
      </c>
      <c r="R475" s="6">
        <f t="shared" ca="1" si="231"/>
        <v>1.3031530917267933</v>
      </c>
      <c r="S475" s="6">
        <f t="shared" ca="1" si="231"/>
        <v>1.3580630876334574</v>
      </c>
      <c r="T475" s="6">
        <f t="shared" ca="1" si="231"/>
        <v>1.4148070713215548</v>
      </c>
      <c r="U475" s="6">
        <f t="shared" ca="1" si="231"/>
        <v>1.4735565765250027</v>
      </c>
    </row>
    <row r="476" spans="1:21" x14ac:dyDescent="0.2">
      <c r="A476" s="1" t="s">
        <v>379</v>
      </c>
      <c r="B476" s="4" t="str">
        <f t="shared" si="229"/>
        <v>From Fiscal</v>
      </c>
      <c r="D476" s="14">
        <f>'Fiscal Forecasts'!D$369</f>
        <v>3.319</v>
      </c>
      <c r="E476" s="14">
        <f>'Fiscal Forecasts'!E$369</f>
        <v>2.8860000000000001</v>
      </c>
      <c r="F476" s="14">
        <f>'Fiscal Forecasts'!F$369</f>
        <v>3.34</v>
      </c>
      <c r="G476" s="15">
        <f>'Fiscal Forecasts'!G$369</f>
        <v>3.194</v>
      </c>
      <c r="H476" s="15">
        <f>'Fiscal Forecasts'!H$369</f>
        <v>3.3239999999999998</v>
      </c>
      <c r="I476" s="15">
        <f>'Fiscal Forecasts'!I$369</f>
        <v>3.3260000000000001</v>
      </c>
      <c r="J476" s="15">
        <f>'Fiscal Forecasts'!J$369</f>
        <v>3.1320000000000001</v>
      </c>
      <c r="K476" s="15">
        <f>'Fiscal Forecasts'!K$369</f>
        <v>3.07</v>
      </c>
      <c r="L476" s="6">
        <f ca="1">SUM(L$143,L$158,L$166)</f>
        <v>3.5842313596498725</v>
      </c>
      <c r="M476" s="6">
        <f t="shared" ref="M476:U476" ca="1" si="232">SUM(M$143,M$158,M$166)</f>
        <v>3.7889456106297641</v>
      </c>
      <c r="N476" s="6">
        <f t="shared" ca="1" si="232"/>
        <v>4.0044440785051583</v>
      </c>
      <c r="O476" s="6">
        <f t="shared" ca="1" si="232"/>
        <v>4.2336522463132997</v>
      </c>
      <c r="P476" s="6">
        <f t="shared" ca="1" si="232"/>
        <v>4.4805693181336999</v>
      </c>
      <c r="Q476" s="6">
        <f t="shared" ca="1" si="232"/>
        <v>4.74860418561813</v>
      </c>
      <c r="R476" s="6">
        <f t="shared" ca="1" si="232"/>
        <v>5.0345998499326416</v>
      </c>
      <c r="S476" s="6">
        <f t="shared" ca="1" si="232"/>
        <v>5.2470391447614677</v>
      </c>
      <c r="T476" s="6">
        <f t="shared" ca="1" si="232"/>
        <v>5.466580239618299</v>
      </c>
      <c r="U476" s="6">
        <f t="shared" ca="1" si="232"/>
        <v>5.6938101895379374</v>
      </c>
    </row>
    <row r="477" spans="1:21" x14ac:dyDescent="0.2">
      <c r="A477" s="1" t="s">
        <v>1249</v>
      </c>
      <c r="B477" s="4" t="str">
        <f t="shared" si="229"/>
        <v>From Fiscal</v>
      </c>
      <c r="D477" s="14">
        <f>'Fiscal Forecasts'!D$368</f>
        <v>0.92</v>
      </c>
      <c r="E477" s="14">
        <f>'Fiscal Forecasts'!E$368</f>
        <v>0.83899999999999997</v>
      </c>
      <c r="F477" s="14">
        <f>'Fiscal Forecasts'!F$368</f>
        <v>0.68799999999999994</v>
      </c>
      <c r="G477" s="15">
        <f>'Fiscal Forecasts'!G$368</f>
        <v>0.67</v>
      </c>
      <c r="H477" s="15">
        <f>'Fiscal Forecasts'!H$368</f>
        <v>0.69199999999999995</v>
      </c>
      <c r="I477" s="15">
        <f>'Fiscal Forecasts'!I$368</f>
        <v>0.64600000000000002</v>
      </c>
      <c r="J477" s="15">
        <f>'Fiscal Forecasts'!J$368</f>
        <v>0.81499999999999995</v>
      </c>
      <c r="K477" s="15">
        <f>'Fiscal Forecasts'!K$368</f>
        <v>0.77</v>
      </c>
      <c r="L477" s="6">
        <f ca="1">SUM(L$149,L$323)</f>
        <v>0.42052963795077414</v>
      </c>
      <c r="M477" s="6">
        <f t="shared" ref="M477:U477" ca="1" si="233">SUM(M$149,M$323)</f>
        <v>0.46612760964597988</v>
      </c>
      <c r="N477" s="6">
        <f t="shared" ca="1" si="233"/>
        <v>0.51325892357454428</v>
      </c>
      <c r="O477" s="6">
        <f t="shared" ca="1" si="233"/>
        <v>0.56138276029498069</v>
      </c>
      <c r="P477" s="6">
        <f t="shared" ca="1" si="233"/>
        <v>0.60996065475906902</v>
      </c>
      <c r="Q477" s="6">
        <f t="shared" ca="1" si="233"/>
        <v>0.65827324160607903</v>
      </c>
      <c r="R477" s="6">
        <f t="shared" ca="1" si="233"/>
        <v>0.70749248465208336</v>
      </c>
      <c r="S477" s="6">
        <f t="shared" ca="1" si="233"/>
        <v>0.73737929851309936</v>
      </c>
      <c r="T477" s="6">
        <f t="shared" ca="1" si="233"/>
        <v>0.76826593132948851</v>
      </c>
      <c r="U477" s="6">
        <f t="shared" ca="1" si="233"/>
        <v>0.80022642059702975</v>
      </c>
    </row>
    <row r="478" spans="1:21" x14ac:dyDescent="0.2">
      <c r="A478" s="1" t="s">
        <v>566</v>
      </c>
      <c r="B478" s="4" t="str">
        <f t="shared" si="229"/>
        <v>From Fiscal</v>
      </c>
      <c r="D478" s="14">
        <f>'Fiscal Forecasts'!D$370</f>
        <v>23.895</v>
      </c>
      <c r="E478" s="14">
        <f>'Fiscal Forecasts'!E$370</f>
        <v>24.338000000000001</v>
      </c>
      <c r="F478" s="14">
        <f>'Fiscal Forecasts'!F$370</f>
        <v>25.292999999999999</v>
      </c>
      <c r="G478" s="15">
        <f>'Fiscal Forecasts'!G$370 +IF($C$2="Yes",SUM('Fiscal Forecast Adjuster'!C$15:C$22)/1000,0)</f>
        <v>26.404</v>
      </c>
      <c r="H478" s="15">
        <f>'Fiscal Forecasts'!H$370 +IF($C$2="Yes",SUM('Fiscal Forecast Adjuster'!D$15:D$22)/1000,0)</f>
        <v>29.308</v>
      </c>
      <c r="I478" s="15">
        <f>'Fiscal Forecasts'!I$370 +IF($C$2="Yes",SUM('Fiscal Forecast Adjuster'!E$15:E$22)/1000,0)</f>
        <v>30.443000000000001</v>
      </c>
      <c r="J478" s="15">
        <f>'Fiscal Forecasts'!J$370 +IF($C$2="Yes",SUM('Fiscal Forecast Adjuster'!F$15:F$22)/1000,0)</f>
        <v>31.709</v>
      </c>
      <c r="K478" s="15">
        <f>'Fiscal Forecasts'!K$370 +IF($C$2="Yes",SUM('Fiscal Forecast Adjuster'!G$15:G$22)/1000,0)</f>
        <v>33.100999999999999</v>
      </c>
      <c r="L478" s="6">
        <f t="shared" ref="L478:U478" ca="1" si="234">L$183</f>
        <v>34.363565151060456</v>
      </c>
      <c r="M478" s="6">
        <f t="shared" ca="1" si="234"/>
        <v>36.108246773116122</v>
      </c>
      <c r="N478" s="6">
        <f t="shared" ca="1" si="234"/>
        <v>37.974275604287286</v>
      </c>
      <c r="O478" s="6">
        <f t="shared" ca="1" si="234"/>
        <v>39.960316226370615</v>
      </c>
      <c r="P478" s="6">
        <f t="shared" ca="1" si="234"/>
        <v>42.040429754017381</v>
      </c>
      <c r="Q478" s="6">
        <f t="shared" ca="1" si="234"/>
        <v>44.200502396927334</v>
      </c>
      <c r="R478" s="6">
        <f t="shared" ca="1" si="234"/>
        <v>46.410566163426076</v>
      </c>
      <c r="S478" s="6">
        <f t="shared" ca="1" si="234"/>
        <v>48.640953069460416</v>
      </c>
      <c r="T478" s="6">
        <f t="shared" ca="1" si="234"/>
        <v>50.93565712152116</v>
      </c>
      <c r="U478" s="6">
        <f t="shared" ca="1" si="234"/>
        <v>53.312754786873192</v>
      </c>
    </row>
    <row r="479" spans="1:21" x14ac:dyDescent="0.2">
      <c r="A479" s="1" t="s">
        <v>567</v>
      </c>
      <c r="B479" s="4" t="str">
        <f t="shared" si="229"/>
        <v>From Fiscal</v>
      </c>
      <c r="D479" s="14">
        <f>'Fiscal Forecasts'!D$371</f>
        <v>42.064</v>
      </c>
      <c r="E479" s="14">
        <f>'Fiscal Forecasts'!E$371</f>
        <v>43.103000000000002</v>
      </c>
      <c r="F479" s="14">
        <f>'Fiscal Forecasts'!F$371</f>
        <v>44.581000000000003</v>
      </c>
      <c r="G479" s="15">
        <f>'Fiscal Forecasts'!G$371 +IF($C$2="Yes",'Fiscal Forecast Adjuster'!C$24/1000,0)</f>
        <v>48.984999999999999</v>
      </c>
      <c r="H479" s="15">
        <f>'Fiscal Forecasts'!H$371 +IF($C$2="Yes",'Fiscal Forecast Adjuster'!D$24/1000,0)</f>
        <v>51.170999999999999</v>
      </c>
      <c r="I479" s="15">
        <f>'Fiscal Forecasts'!I$371 +IF($C$2="Yes",'Fiscal Forecast Adjuster'!E$24/1000,0)</f>
        <v>50.46</v>
      </c>
      <c r="J479" s="15">
        <f>'Fiscal Forecasts'!J$371 +IF($C$2="Yes",'Fiscal Forecast Adjuster'!F$24/1000,0)</f>
        <v>50.594999999999999</v>
      </c>
      <c r="K479" s="15">
        <f>'Fiscal Forecasts'!K$371 +IF($C$2="Yes",'Fiscal Forecast Adjuster'!G$24/1000,0)</f>
        <v>50.375</v>
      </c>
      <c r="L479" s="6">
        <f ca="1">SUM(L$196,L$213,L$228)-SUM(L$209,L$254,L$262,L$264,L$304,L$459-K$459,L$465-K$465)</f>
        <v>50.094593887005772</v>
      </c>
      <c r="M479" s="6">
        <f t="shared" ref="M479:U479" ca="1" si="235">SUM(M$196,M$213,M$228)-SUM(M$209,M$254,M$262,M$264,M$304,M$459-L$459,M$465-L$465)</f>
        <v>50.324830519582925</v>
      </c>
      <c r="N479" s="6">
        <f t="shared" ca="1" si="235"/>
        <v>50.254776762495574</v>
      </c>
      <c r="O479" s="6">
        <f t="shared" ca="1" si="235"/>
        <v>50.127410305903624</v>
      </c>
      <c r="P479" s="6">
        <f t="shared" ca="1" si="235"/>
        <v>49.953521671781381</v>
      </c>
      <c r="Q479" s="6">
        <f t="shared" ca="1" si="235"/>
        <v>49.730780612089006</v>
      </c>
      <c r="R479" s="6">
        <f t="shared" ca="1" si="235"/>
        <v>49.499933609305998</v>
      </c>
      <c r="S479" s="6">
        <f t="shared" ca="1" si="235"/>
        <v>49.255612268339704</v>
      </c>
      <c r="T479" s="6">
        <f t="shared" ca="1" si="235"/>
        <v>48.998453676609188</v>
      </c>
      <c r="U479" s="6">
        <f t="shared" ca="1" si="235"/>
        <v>48.725420809359107</v>
      </c>
    </row>
    <row r="480" spans="1:21" x14ac:dyDescent="0.2">
      <c r="A480" s="1" t="s">
        <v>568</v>
      </c>
      <c r="B480" s="4"/>
      <c r="D480" s="14">
        <f>D$526</f>
        <v>3.9220000000000002</v>
      </c>
      <c r="E480" s="14">
        <f t="shared" ref="E480:U480" si="236">E$526</f>
        <v>3.6040000000000001</v>
      </c>
      <c r="F480" s="14">
        <f t="shared" si="236"/>
        <v>3.53</v>
      </c>
      <c r="G480" s="15">
        <f t="shared" si="236"/>
        <v>3.488</v>
      </c>
      <c r="H480" s="15">
        <f t="shared" si="236"/>
        <v>3.4420000000000002</v>
      </c>
      <c r="I480" s="15">
        <f t="shared" si="236"/>
        <v>3.1989999999999998</v>
      </c>
      <c r="J480" s="15">
        <f t="shared" si="236"/>
        <v>3.4340000000000002</v>
      </c>
      <c r="K480" s="15">
        <f t="shared" si="236"/>
        <v>3.0129999999999999</v>
      </c>
      <c r="L480" s="6">
        <f t="shared" ca="1" si="236"/>
        <v>3.6478404652948835</v>
      </c>
      <c r="M480" s="6">
        <f t="shared" ca="1" si="236"/>
        <v>3.9550450495675262</v>
      </c>
      <c r="N480" s="6">
        <f t="shared" ca="1" si="236"/>
        <v>4.3222278329070107</v>
      </c>
      <c r="O480" s="6">
        <f t="shared" ca="1" si="236"/>
        <v>4.755927187713004</v>
      </c>
      <c r="P480" s="6">
        <f t="shared" ca="1" si="236"/>
        <v>5.2701997906890403</v>
      </c>
      <c r="Q480" s="6">
        <f t="shared" ca="1" si="236"/>
        <v>5.8537020388762802</v>
      </c>
      <c r="R480" s="6">
        <f t="shared" ca="1" si="236"/>
        <v>6.4857836999027878</v>
      </c>
      <c r="S480" s="6">
        <f t="shared" ca="1" si="236"/>
        <v>6.8228076350860238</v>
      </c>
      <c r="T480" s="6">
        <f t="shared" ca="1" si="236"/>
        <v>7.1677055322716026</v>
      </c>
      <c r="U480" s="6">
        <f t="shared" ca="1" si="236"/>
        <v>7.5226471993731199</v>
      </c>
    </row>
    <row r="481" spans="1:21" x14ac:dyDescent="0.2">
      <c r="A481" s="1" t="s">
        <v>673</v>
      </c>
      <c r="D481" s="14">
        <f t="shared" ref="D481:U481" si="237">SUM(D$236,D$239)</f>
        <v>0</v>
      </c>
      <c r="E481" s="14">
        <f t="shared" si="237"/>
        <v>0</v>
      </c>
      <c r="F481" s="14">
        <f t="shared" si="237"/>
        <v>0</v>
      </c>
      <c r="G481" s="15">
        <f t="shared" si="237"/>
        <v>-0.11399999999999999</v>
      </c>
      <c r="H481" s="15">
        <f t="shared" si="237"/>
        <v>-0.38500000000000001</v>
      </c>
      <c r="I481" s="15">
        <f t="shared" si="237"/>
        <v>2.7449999999999992</v>
      </c>
      <c r="J481" s="15">
        <f t="shared" si="237"/>
        <v>5.3609999999999998</v>
      </c>
      <c r="K481" s="15">
        <f t="shared" si="237"/>
        <v>7.8539999999999992</v>
      </c>
      <c r="L481" s="6">
        <f t="shared" ca="1" si="237"/>
        <v>10.041625</v>
      </c>
      <c r="M481" s="6">
        <f t="shared" ca="1" si="237"/>
        <v>12.327693125</v>
      </c>
      <c r="N481" s="6">
        <f t="shared" ca="1" si="237"/>
        <v>14.716634315625001</v>
      </c>
      <c r="O481" s="6">
        <f t="shared" ca="1" si="237"/>
        <v>17.213077859828125</v>
      </c>
      <c r="P481" s="6">
        <f t="shared" ca="1" si="237"/>
        <v>19.821861363520391</v>
      </c>
      <c r="Q481" s="6">
        <f t="shared" ca="1" si="237"/>
        <v>22.54804012487881</v>
      </c>
      <c r="R481" s="6">
        <f t="shared" ca="1" si="237"/>
        <v>25.396896930498354</v>
      </c>
      <c r="S481" s="6">
        <f t="shared" ca="1" si="237"/>
        <v>28.373952292370781</v>
      </c>
      <c r="T481" s="6">
        <f t="shared" ca="1" si="237"/>
        <v>31.484975145527464</v>
      </c>
      <c r="U481" s="6">
        <f t="shared" ca="1" si="237"/>
        <v>34.735994027076195</v>
      </c>
    </row>
    <row r="482" spans="1:21" ht="15" x14ac:dyDescent="0.25">
      <c r="A482" s="2" t="s">
        <v>562</v>
      </c>
      <c r="D482" s="34">
        <f t="shared" ref="D482:U482" si="238">SUM(D$474:D$477)-SUM(D$478:D$481)</f>
        <v>1.5949999999999989</v>
      </c>
      <c r="E482" s="34">
        <f t="shared" si="238"/>
        <v>3.2649999999999864</v>
      </c>
      <c r="F482" s="34">
        <f t="shared" si="238"/>
        <v>6.3080000000000069</v>
      </c>
      <c r="G482" s="33">
        <f t="shared" si="238"/>
        <v>5.4900000000000091</v>
      </c>
      <c r="H482" s="33">
        <f t="shared" si="238"/>
        <v>4.9570000000000078</v>
      </c>
      <c r="I482" s="33">
        <f t="shared" si="238"/>
        <v>6.722999999999999</v>
      </c>
      <c r="J482" s="33">
        <f t="shared" si="238"/>
        <v>7.3589999999999947</v>
      </c>
      <c r="K482" s="33">
        <f t="shared" si="238"/>
        <v>9.1929999999999836</v>
      </c>
      <c r="L482" s="37">
        <f t="shared" ca="1" si="238"/>
        <v>10.052004169739689</v>
      </c>
      <c r="M482" s="37">
        <f t="shared" ca="1" si="238"/>
        <v>10.872620613578064</v>
      </c>
      <c r="N482" s="37">
        <f t="shared" ca="1" si="238"/>
        <v>11.582937557229869</v>
      </c>
      <c r="O482" s="37">
        <f t="shared" ca="1" si="238"/>
        <v>12.173156379400453</v>
      </c>
      <c r="P482" s="37">
        <f t="shared" ca="1" si="238"/>
        <v>12.715908181101838</v>
      </c>
      <c r="Q482" s="37">
        <f t="shared" ca="1" si="238"/>
        <v>13.207154162621848</v>
      </c>
      <c r="R482" s="37">
        <f t="shared" ca="1" si="238"/>
        <v>13.672960564841148</v>
      </c>
      <c r="S482" s="37">
        <f t="shared" ca="1" si="238"/>
        <v>14.391264082544069</v>
      </c>
      <c r="T482" s="37">
        <f t="shared" ca="1" si="238"/>
        <v>15.116467258663164</v>
      </c>
      <c r="U482" s="37">
        <f t="shared" ca="1" si="238"/>
        <v>15.842780236396777</v>
      </c>
    </row>
    <row r="483" spans="1:21" x14ac:dyDescent="0.2">
      <c r="A483" s="1" t="s">
        <v>683</v>
      </c>
      <c r="B483" s="4" t="str">
        <f>$B$37</f>
        <v>From Fiscal</v>
      </c>
      <c r="D483" s="14">
        <f>-'Fiscal Forecasts'!D$374</f>
        <v>1.9550000000000001</v>
      </c>
      <c r="E483" s="14">
        <f>-'Fiscal Forecasts'!E$374</f>
        <v>1.9710000000000001</v>
      </c>
      <c r="F483" s="14">
        <f>-'Fiscal Forecasts'!F$374</f>
        <v>2.153</v>
      </c>
      <c r="G483" s="15">
        <f>-'Fiscal Forecasts'!G$374</f>
        <v>3.2170000000000001</v>
      </c>
      <c r="H483" s="15">
        <f>-'Fiscal Forecasts'!H$374</f>
        <v>3.2290000000000001</v>
      </c>
      <c r="I483" s="15">
        <f>-'Fiscal Forecasts'!I$374</f>
        <v>3.048</v>
      </c>
      <c r="J483" s="15">
        <f>-'Fiscal Forecasts'!J$374</f>
        <v>2.9820000000000002</v>
      </c>
      <c r="K483" s="15">
        <f>-'Fiscal Forecasts'!K$374</f>
        <v>1.8140000000000001</v>
      </c>
      <c r="L483" s="6">
        <f ca="1">SUM(L$407-K$407,L$203,L$426-K$426,L$209)</f>
        <v>2.261253552798705</v>
      </c>
      <c r="M483" s="6">
        <f t="shared" ref="M483:U483" ca="1" si="239">SUM(M$407-L$407,M$203,M$426-L$426,M$209)</f>
        <v>2.4198642585935564</v>
      </c>
      <c r="N483" s="6">
        <f t="shared" ca="1" si="239"/>
        <v>2.637605957599205</v>
      </c>
      <c r="O483" s="6">
        <f t="shared" ca="1" si="239"/>
        <v>2.9122034673356199</v>
      </c>
      <c r="P483" s="6">
        <f t="shared" ca="1" si="239"/>
        <v>3.2408002567625545</v>
      </c>
      <c r="Q483" s="6">
        <f t="shared" ca="1" si="239"/>
        <v>3.6226174877233399</v>
      </c>
      <c r="R483" s="6">
        <f t="shared" ca="1" si="239"/>
        <v>4.0309588726412935</v>
      </c>
      <c r="S483" s="6">
        <f t="shared" ca="1" si="239"/>
        <v>4.4576423761398178</v>
      </c>
      <c r="T483" s="6">
        <f t="shared" ca="1" si="239"/>
        <v>4.9032437437320082</v>
      </c>
      <c r="U483" s="6">
        <f t="shared" ca="1" si="239"/>
        <v>5.3688923744568839</v>
      </c>
    </row>
    <row r="484" spans="1:21" x14ac:dyDescent="0.2">
      <c r="A484" s="1" t="s">
        <v>695</v>
      </c>
      <c r="B484" s="4" t="str">
        <f>$B$37</f>
        <v>From Fiscal</v>
      </c>
      <c r="D484" s="14">
        <f>-'Fiscal Forecasts'!D$375</f>
        <v>0.56999999999999995</v>
      </c>
      <c r="E484" s="14">
        <f>-'Fiscal Forecasts'!E$375</f>
        <v>0.46800000000000003</v>
      </c>
      <c r="F484" s="14">
        <f>-'Fiscal Forecasts'!F$375</f>
        <v>-0.111</v>
      </c>
      <c r="G484" s="15">
        <f>-'Fiscal Forecasts'!G$375</f>
        <v>0.127</v>
      </c>
      <c r="H484" s="15">
        <f>-'Fiscal Forecasts'!H$375</f>
        <v>5.3999999999999999E-2</v>
      </c>
      <c r="I484" s="15">
        <f>-'Fiscal Forecasts'!I$375</f>
        <v>1.0999999999999999E-2</v>
      </c>
      <c r="J484" s="15">
        <f>-'Fiscal Forecasts'!J$375</f>
        <v>-4.7E-2</v>
      </c>
      <c r="K484" s="15">
        <f>-'Fiscal Forecasts'!K$375</f>
        <v>-0.109</v>
      </c>
      <c r="L484" s="6">
        <f t="shared" ref="L484:U484" ca="1" si="240">SUM(L$381-K$381,-(L$147-L$254),L$382-K$382)</f>
        <v>8.6679291603185882E-2</v>
      </c>
      <c r="M484" s="6">
        <f t="shared" ca="1" si="240"/>
        <v>0.12181386186819043</v>
      </c>
      <c r="N484" s="6">
        <f t="shared" ca="1" si="240"/>
        <v>0.15727135462382125</v>
      </c>
      <c r="O484" s="6">
        <f t="shared" ca="1" si="240"/>
        <v>0.19005787617577818</v>
      </c>
      <c r="P484" s="6">
        <f t="shared" ca="1" si="240"/>
        <v>0.22992199888914489</v>
      </c>
      <c r="Q484" s="6">
        <f t="shared" ca="1" si="240"/>
        <v>0.26968751960803405</v>
      </c>
      <c r="R484" s="6">
        <f t="shared" ca="1" si="240"/>
        <v>0.30501277484582967</v>
      </c>
      <c r="S484" s="6">
        <f t="shared" ca="1" si="240"/>
        <v>0.33585628953619706</v>
      </c>
      <c r="T484" s="6">
        <f t="shared" ca="1" si="240"/>
        <v>0.36486346968576389</v>
      </c>
      <c r="U484" s="6">
        <f t="shared" ca="1" si="240"/>
        <v>0.38843250420088593</v>
      </c>
    </row>
    <row r="485" spans="1:21" x14ac:dyDescent="0.2">
      <c r="A485" s="1" t="s">
        <v>696</v>
      </c>
      <c r="B485" s="4" t="str">
        <f>$B$37</f>
        <v>From Fiscal</v>
      </c>
      <c r="D485" s="14">
        <f>-'Fiscal Forecasts'!D$376</f>
        <v>0.89699999999999991</v>
      </c>
      <c r="E485" s="14">
        <f>-'Fiscal Forecasts'!E$376</f>
        <v>2.1480000000000001</v>
      </c>
      <c r="F485" s="14">
        <f>-'Fiscal Forecasts'!F$376</f>
        <v>1.6919999999999999</v>
      </c>
      <c r="G485" s="15">
        <f>-'Fiscal Forecasts'!G$376</f>
        <v>3.2010000000000001</v>
      </c>
      <c r="H485" s="15">
        <f>-'Fiscal Forecasts'!H$376</f>
        <v>3.8820000000000001</v>
      </c>
      <c r="I485" s="15">
        <f>-'Fiscal Forecasts'!I$376</f>
        <v>2.4990000000000001</v>
      </c>
      <c r="J485" s="15">
        <f>-'Fiscal Forecasts'!J$376</f>
        <v>2.0099999999999998</v>
      </c>
      <c r="K485" s="15">
        <f>-'Fiscal Forecasts'!K$376</f>
        <v>1.627</v>
      </c>
      <c r="L485" s="6">
        <f t="shared" ref="L485:U485" ca="1" si="241">SUM(L$421-K$421,-L$331)</f>
        <v>1.1887107370395604</v>
      </c>
      <c r="M485" s="6">
        <f t="shared" ca="1" si="241"/>
        <v>1.3512800158888552</v>
      </c>
      <c r="N485" s="6">
        <f t="shared" ca="1" si="241"/>
        <v>1.4114907688305616</v>
      </c>
      <c r="O485" s="6">
        <f t="shared" ca="1" si="241"/>
        <v>1.473243274053692</v>
      </c>
      <c r="P485" s="6">
        <f t="shared" ca="1" si="241"/>
        <v>1.5370927717107932</v>
      </c>
      <c r="Q485" s="6">
        <f t="shared" ca="1" si="241"/>
        <v>1.6031409760155755</v>
      </c>
      <c r="R485" s="6">
        <f t="shared" ca="1" si="241"/>
        <v>1.6712742400019489</v>
      </c>
      <c r="S485" s="6">
        <f t="shared" ca="1" si="241"/>
        <v>1.7416954838757743</v>
      </c>
      <c r="T485" s="6">
        <f t="shared" ca="1" si="241"/>
        <v>1.8144687894951026</v>
      </c>
      <c r="U485" s="6">
        <f t="shared" ca="1" si="241"/>
        <v>1.8898141462937239</v>
      </c>
    </row>
    <row r="486" spans="1:21" x14ac:dyDescent="0.2">
      <c r="A486" s="1" t="s">
        <v>569</v>
      </c>
      <c r="D486" s="14">
        <f t="shared" ref="D486:U486" si="242">D$371</f>
        <v>0</v>
      </c>
      <c r="E486" s="14">
        <f t="shared" si="242"/>
        <v>0</v>
      </c>
      <c r="F486" s="14">
        <f t="shared" si="242"/>
        <v>0</v>
      </c>
      <c r="G486" s="15">
        <f t="shared" si="242"/>
        <v>0.5</v>
      </c>
      <c r="H486" s="15">
        <f t="shared" si="242"/>
        <v>1</v>
      </c>
      <c r="I486" s="15">
        <f t="shared" si="242"/>
        <v>1.5</v>
      </c>
      <c r="J486" s="15">
        <f t="shared" si="242"/>
        <v>2.2000000000000002</v>
      </c>
      <c r="K486" s="15">
        <f t="shared" si="242"/>
        <v>2.5</v>
      </c>
      <c r="L486" s="6">
        <f t="shared" si="242"/>
        <v>2.6509999999999998</v>
      </c>
      <c r="M486" s="6">
        <f t="shared" si="242"/>
        <v>2.54</v>
      </c>
      <c r="N486" s="6">
        <f t="shared" si="242"/>
        <v>2.3679999999999999</v>
      </c>
      <c r="O486" s="6">
        <f t="shared" si="242"/>
        <v>2.137</v>
      </c>
      <c r="P486" s="6">
        <f t="shared" si="242"/>
        <v>1.8720000000000001</v>
      </c>
      <c r="Q486" s="6">
        <f t="shared" si="242"/>
        <v>1.595</v>
      </c>
      <c r="R486" s="6">
        <f t="shared" si="242"/>
        <v>1.323</v>
      </c>
      <c r="S486" s="6">
        <f t="shared" si="242"/>
        <v>1.0920000000000001</v>
      </c>
      <c r="T486" s="6">
        <f t="shared" si="242"/>
        <v>0.86699999999999999</v>
      </c>
      <c r="U486" s="6">
        <f t="shared" si="242"/>
        <v>0.63400000000000001</v>
      </c>
    </row>
    <row r="487" spans="1:21" x14ac:dyDescent="0.2">
      <c r="A487" s="1" t="s">
        <v>672</v>
      </c>
      <c r="D487" s="14">
        <f>SUM(D$441-C$441,D$442-C$442)</f>
        <v>0</v>
      </c>
      <c r="E487" s="14">
        <f>SUM(E$441-D$441,E$442-D$442)</f>
        <v>0</v>
      </c>
      <c r="F487" s="14">
        <f>SUM(F$441-E$441,F$442-E$442)</f>
        <v>0</v>
      </c>
      <c r="G487" s="15">
        <f>SUM(G$441-F$441,G$442-F$442)</f>
        <v>-0.3</v>
      </c>
      <c r="H487" s="15">
        <f t="shared" ref="H487:U487" si="243">SUM(H$441-G$441,H$442-G$442)</f>
        <v>0.66699999999999993</v>
      </c>
      <c r="I487" s="15">
        <f t="shared" si="243"/>
        <v>1.3920000000000001</v>
      </c>
      <c r="J487" s="15">
        <f t="shared" si="243"/>
        <v>2.1069999999999998</v>
      </c>
      <c r="K487" s="15">
        <f t="shared" si="243"/>
        <v>2.7090000000000005</v>
      </c>
      <c r="L487" s="6">
        <f t="shared" ca="1" si="243"/>
        <v>3.9284250000000007</v>
      </c>
      <c r="M487" s="6">
        <f t="shared" ca="1" si="243"/>
        <v>5.6139178750000003</v>
      </c>
      <c r="N487" s="6">
        <f t="shared" ca="1" si="243"/>
        <v>7.239622929374999</v>
      </c>
      <c r="O487" s="6">
        <f t="shared" ca="1" si="243"/>
        <v>8.7745547111968722</v>
      </c>
      <c r="P487" s="6">
        <f t="shared" ca="1" si="243"/>
        <v>10.314658423200733</v>
      </c>
      <c r="Q487" s="6">
        <f t="shared" ca="1" si="243"/>
        <v>10.778818052244761</v>
      </c>
      <c r="R487" s="6">
        <f t="shared" ca="1" si="243"/>
        <v>11.263864864595774</v>
      </c>
      <c r="S487" s="6">
        <f t="shared" ca="1" si="243"/>
        <v>11.770738783502583</v>
      </c>
      <c r="T487" s="6">
        <f t="shared" ca="1" si="243"/>
        <v>12.300422028760201</v>
      </c>
      <c r="U487" s="6">
        <f t="shared" ca="1" si="243"/>
        <v>12.853941020054418</v>
      </c>
    </row>
    <row r="488" spans="1:21" ht="15" x14ac:dyDescent="0.25">
      <c r="A488" s="2" t="s">
        <v>563</v>
      </c>
      <c r="D488" s="34">
        <f t="shared" ref="D488:U488" si="244">-SUM(D$483:D$487)</f>
        <v>-3.4219999999999997</v>
      </c>
      <c r="E488" s="34">
        <f t="shared" si="244"/>
        <v>-4.5869999999999997</v>
      </c>
      <c r="F488" s="34">
        <f t="shared" si="244"/>
        <v>-3.734</v>
      </c>
      <c r="G488" s="33">
        <f t="shared" si="244"/>
        <v>-6.7450000000000001</v>
      </c>
      <c r="H488" s="33">
        <f t="shared" si="244"/>
        <v>-8.831999999999999</v>
      </c>
      <c r="I488" s="33">
        <f t="shared" si="244"/>
        <v>-8.4499999999999993</v>
      </c>
      <c r="J488" s="33">
        <f t="shared" si="244"/>
        <v>-9.2520000000000007</v>
      </c>
      <c r="K488" s="33">
        <f t="shared" si="244"/>
        <v>-8.5410000000000004</v>
      </c>
      <c r="L488" s="37">
        <f t="shared" ca="1" si="244"/>
        <v>-10.116068581441452</v>
      </c>
      <c r="M488" s="37">
        <f t="shared" ca="1" si="244"/>
        <v>-12.046876011350601</v>
      </c>
      <c r="N488" s="37">
        <f t="shared" ca="1" si="244"/>
        <v>-13.813991010428587</v>
      </c>
      <c r="O488" s="37">
        <f t="shared" ca="1" si="244"/>
        <v>-15.487059328761962</v>
      </c>
      <c r="P488" s="37">
        <f t="shared" ca="1" si="244"/>
        <v>-17.194473450563226</v>
      </c>
      <c r="Q488" s="37">
        <f t="shared" ca="1" si="244"/>
        <v>-17.869264035591712</v>
      </c>
      <c r="R488" s="37">
        <f t="shared" ca="1" si="244"/>
        <v>-18.594110752084845</v>
      </c>
      <c r="S488" s="37">
        <f t="shared" ca="1" si="244"/>
        <v>-19.397932933054371</v>
      </c>
      <c r="T488" s="37">
        <f t="shared" ca="1" si="244"/>
        <v>-20.249998031673076</v>
      </c>
      <c r="U488" s="37">
        <f t="shared" ca="1" si="244"/>
        <v>-21.135080045005914</v>
      </c>
    </row>
    <row r="489" spans="1:21" ht="15" x14ac:dyDescent="0.25">
      <c r="A489" s="2" t="s">
        <v>564</v>
      </c>
      <c r="D489" s="35">
        <f t="shared" ref="D489:U489" si="245">SUM(D$482,D$488)</f>
        <v>-1.8270000000000008</v>
      </c>
      <c r="E489" s="35">
        <f t="shared" si="245"/>
        <v>-1.3220000000000134</v>
      </c>
      <c r="F489" s="35">
        <f t="shared" si="245"/>
        <v>2.5740000000000069</v>
      </c>
      <c r="G489" s="36">
        <f t="shared" si="245"/>
        <v>-1.254999999999991</v>
      </c>
      <c r="H489" s="36">
        <f t="shared" si="245"/>
        <v>-3.8749999999999911</v>
      </c>
      <c r="I489" s="36">
        <f t="shared" si="245"/>
        <v>-1.7270000000000003</v>
      </c>
      <c r="J489" s="36">
        <f t="shared" si="245"/>
        <v>-1.893000000000006</v>
      </c>
      <c r="K489" s="36">
        <f t="shared" si="245"/>
        <v>0.65199999999998326</v>
      </c>
      <c r="L489" s="27">
        <f t="shared" ca="1" si="245"/>
        <v>-6.406441170176258E-2</v>
      </c>
      <c r="M489" s="27">
        <f t="shared" ca="1" si="245"/>
        <v>-1.1742553977725372</v>
      </c>
      <c r="N489" s="27">
        <f t="shared" ca="1" si="245"/>
        <v>-2.2310534531987187</v>
      </c>
      <c r="O489" s="27">
        <f t="shared" ca="1" si="245"/>
        <v>-3.3139029493615091</v>
      </c>
      <c r="P489" s="27">
        <f t="shared" ca="1" si="245"/>
        <v>-4.478565269461388</v>
      </c>
      <c r="Q489" s="27">
        <f t="shared" ca="1" si="245"/>
        <v>-4.6621098729698645</v>
      </c>
      <c r="R489" s="27">
        <f t="shared" ca="1" si="245"/>
        <v>-4.9211501872436969</v>
      </c>
      <c r="S489" s="27">
        <f t="shared" ca="1" si="245"/>
        <v>-5.0066688505103016</v>
      </c>
      <c r="T489" s="27">
        <f t="shared" ca="1" si="245"/>
        <v>-5.1335307730099125</v>
      </c>
      <c r="U489" s="27">
        <f t="shared" ca="1" si="245"/>
        <v>-5.2922998086091368</v>
      </c>
    </row>
    <row r="490" spans="1:21" ht="15" x14ac:dyDescent="0.25">
      <c r="A490" s="2" t="s">
        <v>1287</v>
      </c>
      <c r="B490" s="4" t="str">
        <f>$B$58</f>
        <v>Projected Years only</v>
      </c>
      <c r="L490" s="5" t="str">
        <f ca="1">IF(ROUND(SUM(L$489,L$75-K$75,L$494),3)=0,"OK","ERROR")</f>
        <v>OK</v>
      </c>
      <c r="M490" s="5" t="str">
        <f t="shared" ref="M490:U490" ca="1" si="246">IF(ROUND(SUM(M$489,M$75-L$75,M$494),3)=0,"OK","ERROR")</f>
        <v>OK</v>
      </c>
      <c r="N490" s="5" t="str">
        <f t="shared" ca="1" si="246"/>
        <v>OK</v>
      </c>
      <c r="O490" s="5" t="str">
        <f t="shared" ca="1" si="246"/>
        <v>OK</v>
      </c>
      <c r="P490" s="5" t="str">
        <f t="shared" ca="1" si="246"/>
        <v>OK</v>
      </c>
      <c r="Q490" s="5" t="str">
        <f t="shared" ca="1" si="246"/>
        <v>OK</v>
      </c>
      <c r="R490" s="5" t="str">
        <f t="shared" ca="1" si="246"/>
        <v>OK</v>
      </c>
      <c r="S490" s="5" t="str">
        <f t="shared" ca="1" si="246"/>
        <v>OK</v>
      </c>
      <c r="T490" s="5" t="str">
        <f t="shared" ca="1" si="246"/>
        <v>OK</v>
      </c>
      <c r="U490" s="5" t="str">
        <f t="shared" ca="1" si="246"/>
        <v>OK</v>
      </c>
    </row>
    <row r="491" spans="1:21" ht="15" x14ac:dyDescent="0.25">
      <c r="A491" s="2"/>
      <c r="B491" s="4"/>
    </row>
    <row r="492" spans="1:21" ht="15" x14ac:dyDescent="0.25">
      <c r="A492" s="2" t="s">
        <v>383</v>
      </c>
      <c r="B492" s="4" t="str">
        <f>$B$37</f>
        <v>From Fiscal</v>
      </c>
      <c r="D492" s="39">
        <f>'Fiscal Forecasts'!D$380</f>
        <v>3.0409999999999999</v>
      </c>
      <c r="E492" s="39">
        <f>'Fiscal Forecasts'!E$380</f>
        <v>2.1779999999999999</v>
      </c>
      <c r="F492" s="39">
        <f>'Fiscal Forecasts'!F$380</f>
        <v>1.17</v>
      </c>
      <c r="G492" s="38">
        <f>'Fiscal Forecasts'!G$380 +IF($C$2="Yes",'Fiscal Forecast Adjuster'!C$37/1000,0) +IF($C$3="Yes",'NZS Fund Adjuster'!N$10,0)</f>
        <v>2.3119999999999998</v>
      </c>
      <c r="H492" s="38">
        <f>'Fiscal Forecasts'!H$380 +IF($C$2="Yes",'Fiscal Forecast Adjuster'!D$37/1000,0) +IF($C$3="Yes",'NZS Fund Adjuster'!O$10,0)</f>
        <v>-5.4039999999999999</v>
      </c>
      <c r="I492" s="38">
        <f>'Fiscal Forecasts'!I$380 +IF($C$2="Yes",'Fiscal Forecast Adjuster'!E$37/1000,0) +IF($C$3="Yes",'NZS Fund Adjuster'!P$10,0)</f>
        <v>2.1619999999999999</v>
      </c>
      <c r="J492" s="38">
        <f>'Fiscal Forecasts'!J$380 +IF($C$2="Yes",'Fiscal Forecast Adjuster'!F$37/1000,0) +IF($C$3="Yes",'NZS Fund Adjuster'!Q$10,0)</f>
        <v>-1.0589999999999999</v>
      </c>
      <c r="K492" s="38">
        <f>'Fiscal Forecasts'!K$380 +IF($C$2="Yes",'Fiscal Forecast Adjuster'!G$37/1000,0) +IF($C$3="Yes",'NZS Fund Adjuster'!R$10,0)</f>
        <v>4.8940000000000001</v>
      </c>
      <c r="L492" s="7">
        <f t="shared" ref="L492:U492" ca="1" si="247">-SUM(L$482,L$488,L$496)</f>
        <v>0.41992080856239866</v>
      </c>
      <c r="M492" s="7">
        <f t="shared" ca="1" si="247"/>
        <v>1.6241988941844205</v>
      </c>
      <c r="N492" s="7">
        <f t="shared" ca="1" si="247"/>
        <v>2.7955742724057275</v>
      </c>
      <c r="O492" s="7">
        <f t="shared" ca="1" si="247"/>
        <v>4.0139985591702203</v>
      </c>
      <c r="P492" s="7">
        <f t="shared" ca="1" si="247"/>
        <v>5.3406146045222496</v>
      </c>
      <c r="Q492" s="7">
        <f t="shared" ca="1" si="247"/>
        <v>5.7062472872961729</v>
      </c>
      <c r="R492" s="7">
        <f t="shared" ca="1" si="247"/>
        <v>5.9982497213968742</v>
      </c>
      <c r="S492" s="7">
        <f t="shared" ca="1" si="247"/>
        <v>6.1199384127340739</v>
      </c>
      <c r="T492" s="7">
        <f t="shared" ca="1" si="247"/>
        <v>6.2839834153058476</v>
      </c>
      <c r="U492" s="7">
        <f t="shared" ca="1" si="247"/>
        <v>6.4834132818259089</v>
      </c>
    </row>
    <row r="493" spans="1:21" x14ac:dyDescent="0.2">
      <c r="A493" s="1" t="s">
        <v>709</v>
      </c>
      <c r="B493" s="4" t="str">
        <f>$B$37</f>
        <v>From Fiscal</v>
      </c>
      <c r="D493" s="14">
        <f>-'Fiscal Forecasts'!D$381</f>
        <v>-0.79500000000000004</v>
      </c>
      <c r="E493" s="14">
        <f>-'Fiscal Forecasts'!E$381</f>
        <v>-0.68500000000000005</v>
      </c>
      <c r="F493" s="14">
        <f>-'Fiscal Forecasts'!F$381</f>
        <v>0.19500000000000001</v>
      </c>
      <c r="G493" s="15">
        <f>-'Fiscal Forecasts'!G$381</f>
        <v>1.37</v>
      </c>
      <c r="H493" s="15">
        <f>-'Fiscal Forecasts'!H$381</f>
        <v>-9.0820000000000007</v>
      </c>
      <c r="I493" s="15">
        <f>-'Fiscal Forecasts'!I$381</f>
        <v>0.63800000000000001</v>
      </c>
      <c r="J493" s="15">
        <f>-'Fiscal Forecasts'!J$381</f>
        <v>-2.7429999999999999</v>
      </c>
      <c r="K493" s="15">
        <f>-'Fiscal Forecasts'!K$381</f>
        <v>5.76</v>
      </c>
      <c r="L493" s="6">
        <f ca="1">SUM(L$349-K$349,L$358-K$358)</f>
        <v>-0.21016780245824407</v>
      </c>
      <c r="M493" s="6">
        <f t="shared" ref="M493:U493" ca="1" si="248">SUM(M$349-L$349,M$358-L$358)</f>
        <v>-4.9056933279485904E-2</v>
      </c>
      <c r="N493" s="6">
        <f t="shared" ca="1" si="248"/>
        <v>0.14673799420108669</v>
      </c>
      <c r="O493" s="6">
        <f t="shared" ca="1" si="248"/>
        <v>0.37808561994397927</v>
      </c>
      <c r="P493" s="6">
        <f t="shared" ca="1" si="248"/>
        <v>0.65057184845631966</v>
      </c>
      <c r="Q493" s="6">
        <f t="shared" ca="1" si="248"/>
        <v>0.95934751277139174</v>
      </c>
      <c r="R493" s="6">
        <f t="shared" ca="1" si="248"/>
        <v>0.98963292083904797</v>
      </c>
      <c r="S493" s="6">
        <f t="shared" ca="1" si="248"/>
        <v>1.0228657367407585</v>
      </c>
      <c r="T493" s="6">
        <f t="shared" ca="1" si="248"/>
        <v>1.0570293390549494</v>
      </c>
      <c r="U493" s="6">
        <f t="shared" ca="1" si="248"/>
        <v>1.0943882790526036</v>
      </c>
    </row>
    <row r="494" spans="1:21" x14ac:dyDescent="0.2">
      <c r="A494" s="1" t="s">
        <v>188</v>
      </c>
      <c r="B494" s="4"/>
      <c r="D494" s="14">
        <f t="shared" ref="D494:K494" si="249">D$98</f>
        <v>0.372</v>
      </c>
      <c r="E494" s="14">
        <f t="shared" si="249"/>
        <v>0.378</v>
      </c>
      <c r="F494" s="14">
        <f t="shared" si="249"/>
        <v>0.26500000000000001</v>
      </c>
      <c r="G494" s="15">
        <f t="shared" si="249"/>
        <v>0.46</v>
      </c>
      <c r="H494" s="15">
        <f t="shared" si="249"/>
        <v>0.19600000000000001</v>
      </c>
      <c r="I494" s="15">
        <f t="shared" si="249"/>
        <v>0.20200000000000001</v>
      </c>
      <c r="J494" s="15">
        <f t="shared" si="249"/>
        <v>0.20799999999999999</v>
      </c>
      <c r="K494" s="15">
        <f t="shared" si="249"/>
        <v>0.214</v>
      </c>
      <c r="L494" s="6">
        <f t="shared" ref="L494:U494" ca="1" si="250">L$445-K$445</f>
        <v>0.37752846600355738</v>
      </c>
      <c r="M494" s="6">
        <f t="shared" ca="1" si="250"/>
        <v>0.37923488856834986</v>
      </c>
      <c r="N494" s="6">
        <f t="shared" ca="1" si="250"/>
        <v>0.3814952091130035</v>
      </c>
      <c r="O494" s="6">
        <f t="shared" ca="1" si="250"/>
        <v>0.38431860230770454</v>
      </c>
      <c r="P494" s="6">
        <f t="shared" ca="1" si="250"/>
        <v>0.38944590314491734</v>
      </c>
      <c r="Q494" s="6">
        <f t="shared" ca="1" si="250"/>
        <v>0.39411782080294699</v>
      </c>
      <c r="R494" s="6">
        <f t="shared" ca="1" si="250"/>
        <v>0.40655963033584008</v>
      </c>
      <c r="S494" s="6">
        <f t="shared" ca="1" si="250"/>
        <v>0.42021228988617132</v>
      </c>
      <c r="T494" s="6">
        <f t="shared" ca="1" si="250"/>
        <v>0.4342473338255175</v>
      </c>
      <c r="U494" s="6">
        <f t="shared" ca="1" si="250"/>
        <v>0.44959508198076925</v>
      </c>
    </row>
    <row r="495" spans="1:21" x14ac:dyDescent="0.2">
      <c r="A495" s="1" t="s">
        <v>1306</v>
      </c>
      <c r="B495" s="4" t="str">
        <f>$B$37</f>
        <v>From Fiscal</v>
      </c>
      <c r="D495" s="14">
        <f>-'Fiscal Forecasts'!D$382</f>
        <v>2.3809999999999998</v>
      </c>
      <c r="E495" s="14">
        <f>-'Fiscal Forecasts'!E$382</f>
        <v>1.919</v>
      </c>
      <c r="F495" s="14">
        <f>-'Fiscal Forecasts'!F$382</f>
        <v>3.8140000000000001</v>
      </c>
      <c r="G495" s="15">
        <f>-'Fiscal Forecasts'!G$382</f>
        <v>0.14699999999999999</v>
      </c>
      <c r="H495" s="15">
        <f>-'Fiscal Forecasts'!H$382</f>
        <v>-1E-3</v>
      </c>
      <c r="I495" s="15">
        <f>-'Fiscal Forecasts'!I$382</f>
        <v>-1E-3</v>
      </c>
      <c r="J495" s="15">
        <f>-'Fiscal Forecasts'!J$382</f>
        <v>-1E-3</v>
      </c>
      <c r="K495" s="15">
        <f>-'Fiscal Forecasts'!K$382</f>
        <v>0</v>
      </c>
      <c r="L495" s="6">
        <f t="shared" ref="L495:U495" ca="1" si="251">L$336-K$336</f>
        <v>0.94355266532243753</v>
      </c>
      <c r="M495" s="6">
        <f t="shared" ca="1" si="251"/>
        <v>0.87823531825971912</v>
      </c>
      <c r="N495" s="6">
        <f t="shared" ca="1" si="251"/>
        <v>0.79927803411892562</v>
      </c>
      <c r="O495" s="6">
        <f t="shared" ca="1" si="251"/>
        <v>0.70632859217243649</v>
      </c>
      <c r="P495" s="6">
        <f t="shared" ca="1" si="251"/>
        <v>0.60092338974945925</v>
      </c>
      <c r="Q495" s="6">
        <f t="shared" ca="1" si="251"/>
        <v>0.47890772235786372</v>
      </c>
      <c r="R495" s="6">
        <f t="shared" ca="1" si="251"/>
        <v>0.49402624364996939</v>
      </c>
      <c r="S495" s="6">
        <f t="shared" ca="1" si="251"/>
        <v>0.51061611536918505</v>
      </c>
      <c r="T495" s="6">
        <f t="shared" ca="1" si="251"/>
        <v>0.52767063706650319</v>
      </c>
      <c r="U495" s="6">
        <f t="shared" ca="1" si="251"/>
        <v>0.54632027614493772</v>
      </c>
    </row>
    <row r="496" spans="1:21" ht="15" x14ac:dyDescent="0.25">
      <c r="A496" s="2" t="s">
        <v>565</v>
      </c>
      <c r="D496" s="34">
        <f t="shared" ref="D496:U496" si="252">SUM(-D$493,D$494,-D$495)</f>
        <v>-1.2139999999999997</v>
      </c>
      <c r="E496" s="34">
        <f t="shared" si="252"/>
        <v>-0.85599999999999987</v>
      </c>
      <c r="F496" s="34">
        <f t="shared" si="252"/>
        <v>-3.7440000000000002</v>
      </c>
      <c r="G496" s="33">
        <f t="shared" si="252"/>
        <v>-1.0570000000000002</v>
      </c>
      <c r="H496" s="33">
        <f t="shared" si="252"/>
        <v>9.2789999999999999</v>
      </c>
      <c r="I496" s="33">
        <f t="shared" si="252"/>
        <v>-0.435</v>
      </c>
      <c r="J496" s="33">
        <f t="shared" si="252"/>
        <v>2.952</v>
      </c>
      <c r="K496" s="33">
        <f t="shared" si="252"/>
        <v>-5.5459999999999994</v>
      </c>
      <c r="L496" s="37">
        <f t="shared" ca="1" si="252"/>
        <v>-0.35585639686063608</v>
      </c>
      <c r="M496" s="37">
        <f t="shared" ca="1" si="252"/>
        <v>-0.44994349641188336</v>
      </c>
      <c r="N496" s="37">
        <f t="shared" ca="1" si="252"/>
        <v>-0.56452081920700881</v>
      </c>
      <c r="O496" s="37">
        <f t="shared" ca="1" si="252"/>
        <v>-0.70009560980871122</v>
      </c>
      <c r="P496" s="37">
        <f t="shared" ca="1" si="252"/>
        <v>-0.86204933506086157</v>
      </c>
      <c r="Q496" s="37">
        <f t="shared" ca="1" si="252"/>
        <v>-1.0441374143263085</v>
      </c>
      <c r="R496" s="37">
        <f t="shared" ca="1" si="252"/>
        <v>-1.0770995341531773</v>
      </c>
      <c r="S496" s="37">
        <f t="shared" ca="1" si="252"/>
        <v>-1.1132695622237723</v>
      </c>
      <c r="T496" s="37">
        <f t="shared" ca="1" si="252"/>
        <v>-1.1504526422959351</v>
      </c>
      <c r="U496" s="37">
        <f t="shared" ca="1" si="252"/>
        <v>-1.1911134732167721</v>
      </c>
    </row>
    <row r="497" spans="1:21" ht="15" x14ac:dyDescent="0.25">
      <c r="A497" s="2" t="s">
        <v>664</v>
      </c>
      <c r="D497" s="5" t="str">
        <f t="shared" ref="D497:U497" si="253">IF(ROUND(SUM(D$489,D$492,D$496),3)=0,"OK","ERROR")</f>
        <v>OK</v>
      </c>
      <c r="E497" s="5" t="str">
        <f t="shared" si="253"/>
        <v>OK</v>
      </c>
      <c r="F497" s="5" t="str">
        <f t="shared" si="253"/>
        <v>OK</v>
      </c>
      <c r="G497" s="5" t="str">
        <f t="shared" si="253"/>
        <v>OK</v>
      </c>
      <c r="H497" s="5" t="str">
        <f t="shared" si="253"/>
        <v>OK</v>
      </c>
      <c r="I497" s="5" t="str">
        <f t="shared" si="253"/>
        <v>OK</v>
      </c>
      <c r="J497" s="5" t="str">
        <f t="shared" si="253"/>
        <v>OK</v>
      </c>
      <c r="K497" s="5" t="str">
        <f t="shared" si="253"/>
        <v>OK</v>
      </c>
      <c r="L497" s="5" t="str">
        <f t="shared" ca="1" si="253"/>
        <v>OK</v>
      </c>
      <c r="M497" s="5" t="str">
        <f t="shared" ca="1" si="253"/>
        <v>OK</v>
      </c>
      <c r="N497" s="5" t="str">
        <f t="shared" ca="1" si="253"/>
        <v>OK</v>
      </c>
      <c r="O497" s="5" t="str">
        <f t="shared" ca="1" si="253"/>
        <v>OK</v>
      </c>
      <c r="P497" s="5" t="str">
        <f t="shared" ca="1" si="253"/>
        <v>OK</v>
      </c>
      <c r="Q497" s="5" t="str">
        <f t="shared" ca="1" si="253"/>
        <v>OK</v>
      </c>
      <c r="R497" s="5" t="str">
        <f t="shared" ca="1" si="253"/>
        <v>OK</v>
      </c>
      <c r="S497" s="5" t="str">
        <f t="shared" ca="1" si="253"/>
        <v>OK</v>
      </c>
      <c r="T497" s="5" t="str">
        <f t="shared" ca="1" si="253"/>
        <v>OK</v>
      </c>
      <c r="U497" s="5" t="str">
        <f t="shared" ca="1" si="253"/>
        <v>OK</v>
      </c>
    </row>
    <row r="498" spans="1:21" ht="15" x14ac:dyDescent="0.25">
      <c r="G498" s="52"/>
      <c r="H498" s="52"/>
      <c r="I498" s="52"/>
      <c r="J498" s="52"/>
      <c r="K498" s="52"/>
      <c r="L498" s="52"/>
      <c r="M498" s="52"/>
      <c r="N498" s="52"/>
      <c r="O498" s="52"/>
      <c r="P498" s="52"/>
      <c r="Q498" s="52"/>
      <c r="R498" s="52"/>
      <c r="S498" s="52"/>
      <c r="T498" s="52"/>
      <c r="U498" s="52"/>
    </row>
    <row r="499" spans="1:21" x14ac:dyDescent="0.2">
      <c r="A499" s="18" t="s">
        <v>665</v>
      </c>
      <c r="B499" s="4" t="str">
        <f>$B$58</f>
        <v>Projected Years only</v>
      </c>
    </row>
    <row r="500" spans="1:21" x14ac:dyDescent="0.2">
      <c r="A500" s="1" t="s">
        <v>666</v>
      </c>
      <c r="L500" s="6">
        <f ca="1">SUM(L$474-L$367,L$475,L$476,L$477+L$366)-SUM(L$478,L$479+L$368,L$480,L$481)</f>
        <v>9.9903204135159456</v>
      </c>
      <c r="M500" s="6">
        <f t="shared" ref="M500:U500" ca="1" si="254">SUM(M$474-M$367,M$475,M$476,M$477+M$366)-SUM(M$478,M$479+M$368,M$480,M$481)</f>
        <v>10.803009808696146</v>
      </c>
      <c r="N500" s="6">
        <f t="shared" ca="1" si="254"/>
        <v>11.504763034896399</v>
      </c>
      <c r="O500" s="6">
        <f t="shared" ca="1" si="254"/>
        <v>12.085788633790713</v>
      </c>
      <c r="P500" s="6">
        <f t="shared" ca="1" si="254"/>
        <v>12.618713611945736</v>
      </c>
      <c r="Q500" s="6">
        <f t="shared" ca="1" si="254"/>
        <v>13.1020616042521</v>
      </c>
      <c r="R500" s="6">
        <f t="shared" ca="1" si="254"/>
        <v>13.559947437707478</v>
      </c>
      <c r="S500" s="6">
        <f t="shared" ca="1" si="254"/>
        <v>14.270154414742223</v>
      </c>
      <c r="T500" s="6">
        <f t="shared" ca="1" si="254"/>
        <v>14.987046430750837</v>
      </c>
      <c r="U500" s="6">
        <f t="shared" ca="1" si="254"/>
        <v>15.704821695938222</v>
      </c>
    </row>
    <row r="501" spans="1:21" x14ac:dyDescent="0.2">
      <c r="A501" s="1" t="s">
        <v>667</v>
      </c>
      <c r="L501" s="6">
        <f t="shared" ref="L501:U501" ca="1" si="255">-SUM(L$483,L$406-K$406,L$484,L$380-K$380,L$485,L$420-K$420,L$487,L$493,L$348-K$348,L$357-K$357,-L$322)</f>
        <v>-11.57767390404895</v>
      </c>
      <c r="M501" s="6">
        <f t="shared" ca="1" si="255"/>
        <v>-11.711818489694354</v>
      </c>
      <c r="N501" s="6">
        <f t="shared" ca="1" si="255"/>
        <v>-13.636477801576907</v>
      </c>
      <c r="O501" s="6">
        <f t="shared" ca="1" si="255"/>
        <v>-15.5231122021162</v>
      </c>
      <c r="P501" s="6">
        <f t="shared" ca="1" si="255"/>
        <v>-17.484486769909527</v>
      </c>
      <c r="Q501" s="6">
        <f t="shared" ca="1" si="255"/>
        <v>-18.459877136654924</v>
      </c>
      <c r="R501" s="6">
        <f t="shared" ca="1" si="255"/>
        <v>-19.202119898416587</v>
      </c>
      <c r="S501" s="6">
        <f t="shared" ca="1" si="255"/>
        <v>-20.022325371333441</v>
      </c>
      <c r="T501" s="6">
        <f t="shared" ca="1" si="255"/>
        <v>-20.892095934733177</v>
      </c>
      <c r="U501" s="6">
        <f t="shared" ca="1" si="255"/>
        <v>-21.79830423029799</v>
      </c>
    </row>
    <row r="502" spans="1:21" x14ac:dyDescent="0.2">
      <c r="A502" s="1" t="s">
        <v>188</v>
      </c>
      <c r="L502" s="6">
        <f t="shared" ref="L502:U502" ca="1" si="256">L$494</f>
        <v>0.37752846600355738</v>
      </c>
      <c r="M502" s="6">
        <f t="shared" ca="1" si="256"/>
        <v>0.37923488856834986</v>
      </c>
      <c r="N502" s="6">
        <f t="shared" ca="1" si="256"/>
        <v>0.3814952091130035</v>
      </c>
      <c r="O502" s="6">
        <f t="shared" ca="1" si="256"/>
        <v>0.38431860230770454</v>
      </c>
      <c r="P502" s="6">
        <f t="shared" ca="1" si="256"/>
        <v>0.38944590314491734</v>
      </c>
      <c r="Q502" s="6">
        <f t="shared" ca="1" si="256"/>
        <v>0.39411782080294699</v>
      </c>
      <c r="R502" s="6">
        <f t="shared" ca="1" si="256"/>
        <v>0.40655963033584008</v>
      </c>
      <c r="S502" s="6">
        <f t="shared" ca="1" si="256"/>
        <v>0.42021228988617132</v>
      </c>
      <c r="T502" s="6">
        <f t="shared" ca="1" si="256"/>
        <v>0.4342473338255175</v>
      </c>
      <c r="U502" s="6">
        <f t="shared" ca="1" si="256"/>
        <v>0.44959508198076925</v>
      </c>
    </row>
    <row r="503" spans="1:21" x14ac:dyDescent="0.2">
      <c r="A503" s="1" t="s">
        <v>681</v>
      </c>
      <c r="L503" s="6">
        <f t="shared" ref="L503:U503" ca="1" si="257">SUM(L$495,L$335-K$335,-L$500,-L$501,-L$502)</f>
        <v>0.62010180856240993</v>
      </c>
      <c r="M503" s="6">
        <f t="shared" ca="1" si="257"/>
        <v>1.8974661079913329</v>
      </c>
      <c r="N503" s="6">
        <f t="shared" ca="1" si="257"/>
        <v>3.0587649084554052</v>
      </c>
      <c r="O503" s="6">
        <f t="shared" ca="1" si="257"/>
        <v>4.2877297419335232</v>
      </c>
      <c r="P503" s="6">
        <f t="shared" ca="1" si="257"/>
        <v>5.6246275532842986</v>
      </c>
      <c r="Q503" s="6">
        <f t="shared" ca="1" si="257"/>
        <v>6.0004623757310149</v>
      </c>
      <c r="R503" s="6">
        <f t="shared" ca="1" si="257"/>
        <v>6.2980978275999764</v>
      </c>
      <c r="S503" s="6">
        <f t="shared" ca="1" si="257"/>
        <v>6.4254849927815947</v>
      </c>
      <c r="T503" s="6">
        <f t="shared" ca="1" si="257"/>
        <v>6.5972976535610588</v>
      </c>
      <c r="U503" s="6">
        <f t="shared" ca="1" si="257"/>
        <v>6.805281636732456</v>
      </c>
    </row>
    <row r="504" spans="1:21" ht="15" x14ac:dyDescent="0.25">
      <c r="A504" s="2" t="s">
        <v>668</v>
      </c>
      <c r="L504" s="37">
        <f t="shared" ref="L504:U504" ca="1" si="258">SUM(L$500:L$503)</f>
        <v>-0.58972321596703736</v>
      </c>
      <c r="M504" s="37">
        <f t="shared" ca="1" si="258"/>
        <v>1.3678923155614751</v>
      </c>
      <c r="N504" s="37">
        <f t="shared" ca="1" si="258"/>
        <v>1.3085453508879006</v>
      </c>
      <c r="O504" s="37">
        <f t="shared" ca="1" si="258"/>
        <v>1.2347247759157405</v>
      </c>
      <c r="P504" s="37">
        <f t="shared" ca="1" si="258"/>
        <v>1.1483002984654256</v>
      </c>
      <c r="Q504" s="37">
        <f t="shared" ca="1" si="258"/>
        <v>1.0367646641311374</v>
      </c>
      <c r="R504" s="37">
        <f t="shared" ca="1" si="258"/>
        <v>1.0624849972267079</v>
      </c>
      <c r="S504" s="37">
        <f t="shared" ca="1" si="258"/>
        <v>1.0935263260765478</v>
      </c>
      <c r="T504" s="37">
        <f t="shared" ca="1" si="258"/>
        <v>1.126495483404236</v>
      </c>
      <c r="U504" s="37">
        <f t="shared" ca="1" si="258"/>
        <v>1.1613941843534565</v>
      </c>
    </row>
    <row r="505" spans="1:21" x14ac:dyDescent="0.2">
      <c r="A505" s="18" t="s">
        <v>340</v>
      </c>
    </row>
    <row r="506" spans="1:21" ht="15" x14ac:dyDescent="0.25">
      <c r="A506" s="2" t="s">
        <v>337</v>
      </c>
      <c r="L506" s="27">
        <f t="shared" ref="L506:U506" ca="1" si="259">L$500</f>
        <v>9.9903204135159456</v>
      </c>
      <c r="M506" s="27">
        <f t="shared" ca="1" si="259"/>
        <v>10.803009808696146</v>
      </c>
      <c r="N506" s="27">
        <f t="shared" ca="1" si="259"/>
        <v>11.504763034896399</v>
      </c>
      <c r="O506" s="27">
        <f t="shared" ca="1" si="259"/>
        <v>12.085788633790713</v>
      </c>
      <c r="P506" s="27">
        <f t="shared" ca="1" si="259"/>
        <v>12.618713611945736</v>
      </c>
      <c r="Q506" s="27">
        <f t="shared" ca="1" si="259"/>
        <v>13.1020616042521</v>
      </c>
      <c r="R506" s="27">
        <f t="shared" ca="1" si="259"/>
        <v>13.559947437707478</v>
      </c>
      <c r="S506" s="27">
        <f t="shared" ca="1" si="259"/>
        <v>14.270154414742223</v>
      </c>
      <c r="T506" s="27">
        <f t="shared" ca="1" si="259"/>
        <v>14.987046430750837</v>
      </c>
      <c r="U506" s="27">
        <f t="shared" ca="1" si="259"/>
        <v>15.704821695938222</v>
      </c>
    </row>
    <row r="507" spans="1:21" ht="15" x14ac:dyDescent="0.25">
      <c r="A507" s="2" t="s">
        <v>156</v>
      </c>
      <c r="L507" s="37">
        <f t="shared" ref="L507:U507" ca="1" si="260">L$324</f>
        <v>3.4275752108214945</v>
      </c>
      <c r="M507" s="37">
        <f t="shared" ca="1" si="260"/>
        <v>3.849969714674188</v>
      </c>
      <c r="N507" s="37">
        <f t="shared" ca="1" si="260"/>
        <v>4.3057072520111053</v>
      </c>
      <c r="O507" s="37">
        <f t="shared" ca="1" si="260"/>
        <v>4.7944585236338231</v>
      </c>
      <c r="P507" s="37">
        <f t="shared" ca="1" si="260"/>
        <v>5.3165302856150749</v>
      </c>
      <c r="Q507" s="37">
        <f t="shared" ca="1" si="260"/>
        <v>5.7386149686232866</v>
      </c>
      <c r="R507" s="37">
        <f t="shared" ca="1" si="260"/>
        <v>6.1622264180293262</v>
      </c>
      <c r="S507" s="37">
        <f t="shared" ca="1" si="260"/>
        <v>6.595379965052155</v>
      </c>
      <c r="T507" s="37">
        <f t="shared" ca="1" si="260"/>
        <v>7.0400972766866889</v>
      </c>
      <c r="U507" s="37">
        <f t="shared" ca="1" si="260"/>
        <v>7.4970363649152754</v>
      </c>
    </row>
    <row r="508" spans="1:21" x14ac:dyDescent="0.2">
      <c r="A508" s="1" t="s">
        <v>675</v>
      </c>
      <c r="L508" s="6">
        <f ca="1">SUM(L$203,L$209)</f>
        <v>2.1316169550955046</v>
      </c>
      <c r="M508" s="6">
        <f t="shared" ref="M508:U508" ca="1" si="261">SUM(M$203,M$209)</f>
        <v>2.2935701101627917</v>
      </c>
      <c r="N508" s="6">
        <f t="shared" ca="1" si="261"/>
        <v>2.5153122865319788</v>
      </c>
      <c r="O508" s="6">
        <f t="shared" ca="1" si="261"/>
        <v>2.7945863312123791</v>
      </c>
      <c r="P508" s="6">
        <f t="shared" ca="1" si="261"/>
        <v>3.1280968368559545</v>
      </c>
      <c r="Q508" s="6">
        <f t="shared" ca="1" si="261"/>
        <v>3.5158576765938179</v>
      </c>
      <c r="R508" s="6">
        <f t="shared" ca="1" si="261"/>
        <v>3.9208287870259984</v>
      </c>
      <c r="S508" s="6">
        <f t="shared" ca="1" si="261"/>
        <v>4.3438140173735142</v>
      </c>
      <c r="T508" s="6">
        <f t="shared" ca="1" si="261"/>
        <v>4.7856135303905765</v>
      </c>
      <c r="U508" s="6">
        <f t="shared" ca="1" si="261"/>
        <v>5.247104717305934</v>
      </c>
    </row>
    <row r="509" spans="1:21" x14ac:dyDescent="0.2">
      <c r="A509" s="1" t="s">
        <v>678</v>
      </c>
      <c r="L509" s="6">
        <f t="shared" ref="L509:U509" si="262">L$254</f>
        <v>0.70199999999999996</v>
      </c>
      <c r="M509" s="6">
        <f t="shared" si="262"/>
        <v>0.72399999999999998</v>
      </c>
      <c r="N509" s="6">
        <f t="shared" si="262"/>
        <v>0.745</v>
      </c>
      <c r="O509" s="6">
        <f t="shared" si="262"/>
        <v>0.76600000000000001</v>
      </c>
      <c r="P509" s="6">
        <f t="shared" si="262"/>
        <v>0.78900000000000003</v>
      </c>
      <c r="Q509" s="6">
        <f t="shared" si="262"/>
        <v>0.81399999999999995</v>
      </c>
      <c r="R509" s="6">
        <f t="shared" si="262"/>
        <v>0.83799999999999997</v>
      </c>
      <c r="S509" s="6">
        <f t="shared" si="262"/>
        <v>0.86099999999999999</v>
      </c>
      <c r="T509" s="6">
        <f t="shared" si="262"/>
        <v>0.88400000000000001</v>
      </c>
      <c r="U509" s="6">
        <f t="shared" si="262"/>
        <v>0.90600000000000003</v>
      </c>
    </row>
    <row r="510" spans="1:21" x14ac:dyDescent="0.2">
      <c r="A510" s="1" t="s">
        <v>688</v>
      </c>
      <c r="L510" s="6">
        <f t="shared" ref="L510:U510" si="263">L$465-K$465</f>
        <v>-0.28568139404159432</v>
      </c>
      <c r="M510" s="6">
        <f t="shared" si="263"/>
        <v>-0.28192242833052461</v>
      </c>
      <c r="N510" s="6">
        <f t="shared" si="263"/>
        <v>-0.27722372119167904</v>
      </c>
      <c r="O510" s="6">
        <f t="shared" si="263"/>
        <v>-0.26876604834176465</v>
      </c>
      <c r="P510" s="6">
        <f t="shared" si="263"/>
        <v>-0.26312759977515565</v>
      </c>
      <c r="Q510" s="6">
        <f t="shared" si="263"/>
        <v>-0.26030837549184849</v>
      </c>
      <c r="R510" s="6">
        <f t="shared" si="263"/>
        <v>-0.26688656548622891</v>
      </c>
      <c r="S510" s="6">
        <f t="shared" si="263"/>
        <v>-0.27158527262506915</v>
      </c>
      <c r="T510" s="6">
        <f t="shared" si="263"/>
        <v>-0.2772237211916817</v>
      </c>
      <c r="U510" s="6">
        <f t="shared" si="263"/>
        <v>-0.28004294547498532</v>
      </c>
    </row>
    <row r="511" spans="1:21" x14ac:dyDescent="0.2">
      <c r="A511" s="1" t="s">
        <v>689</v>
      </c>
      <c r="L511" s="6">
        <f t="shared" ref="L511:U511" ca="1" si="264">L$459-K$459</f>
        <v>5.9207054665437464E-5</v>
      </c>
      <c r="M511" s="6">
        <f t="shared" ca="1" si="264"/>
        <v>6.0579872832844904E-5</v>
      </c>
      <c r="N511" s="6">
        <f t="shared" ca="1" si="264"/>
        <v>6.2009086897556014E-5</v>
      </c>
      <c r="O511" s="6">
        <f t="shared" ca="1" si="264"/>
        <v>6.3366151232394259E-5</v>
      </c>
      <c r="P511" s="6">
        <f t="shared" ca="1" si="264"/>
        <v>6.4630508579210846E-5</v>
      </c>
      <c r="Q511" s="6">
        <f t="shared" ca="1" si="264"/>
        <v>6.5929773731848718E-5</v>
      </c>
      <c r="R511" s="6">
        <f t="shared" ca="1" si="264"/>
        <v>6.7108023434610774E-5</v>
      </c>
      <c r="S511" s="6">
        <f t="shared" ca="1" si="264"/>
        <v>6.8255057438811658E-5</v>
      </c>
      <c r="T511" s="6">
        <f t="shared" ca="1" si="264"/>
        <v>6.9474876593970947E-5</v>
      </c>
      <c r="U511" s="6">
        <f t="shared" ca="1" si="264"/>
        <v>7.053375853446767E-5</v>
      </c>
    </row>
    <row r="512" spans="1:21" x14ac:dyDescent="0.2">
      <c r="A512" s="1" t="s">
        <v>690</v>
      </c>
      <c r="L512" s="6">
        <f t="shared" ref="L512:U512" ca="1" si="265">-L$331</f>
        <v>-0.13363874947188845</v>
      </c>
      <c r="M512" s="6">
        <f t="shared" ca="1" si="265"/>
        <v>-0.13973213301761553</v>
      </c>
      <c r="N512" s="6">
        <f t="shared" ca="1" si="265"/>
        <v>-0.14595836062419112</v>
      </c>
      <c r="O512" s="6">
        <f t="shared" ca="1" si="265"/>
        <v>-0.1523440165745116</v>
      </c>
      <c r="P512" s="6">
        <f t="shared" ca="1" si="265"/>
        <v>-0.1589465167186887</v>
      </c>
      <c r="Q512" s="6">
        <f t="shared" ca="1" si="265"/>
        <v>-0.16577637904253908</v>
      </c>
      <c r="R512" s="6">
        <f t="shared" ca="1" si="265"/>
        <v>-0.17282185162729086</v>
      </c>
      <c r="S512" s="6">
        <f t="shared" ca="1" si="265"/>
        <v>-0.18010391789078878</v>
      </c>
      <c r="T512" s="6">
        <f t="shared" ca="1" si="265"/>
        <v>-0.18762920436092342</v>
      </c>
      <c r="U512" s="6">
        <f t="shared" ca="1" si="265"/>
        <v>-0.19542045953723822</v>
      </c>
    </row>
    <row r="513" spans="1:21" ht="15" x14ac:dyDescent="0.25">
      <c r="A513" s="2" t="s">
        <v>679</v>
      </c>
      <c r="L513" s="37">
        <f t="shared" ref="L513:U513" ca="1" si="266">-SUM(L$508:L$512)</f>
        <v>-2.414356018636687</v>
      </c>
      <c r="M513" s="37">
        <f t="shared" ca="1" si="266"/>
        <v>-2.5959761286874845</v>
      </c>
      <c r="N513" s="37">
        <f t="shared" ca="1" si="266"/>
        <v>-2.8371922138030063</v>
      </c>
      <c r="O513" s="37">
        <f t="shared" ca="1" si="266"/>
        <v>-3.139539632447335</v>
      </c>
      <c r="P513" s="37">
        <f t="shared" ca="1" si="266"/>
        <v>-3.4950873508706897</v>
      </c>
      <c r="Q513" s="37">
        <f t="shared" ca="1" si="266"/>
        <v>-3.9038388518331621</v>
      </c>
      <c r="R513" s="37">
        <f t="shared" ca="1" si="266"/>
        <v>-4.3191874779359125</v>
      </c>
      <c r="S513" s="37">
        <f t="shared" ca="1" si="266"/>
        <v>-4.7531930819150947</v>
      </c>
      <c r="T513" s="37">
        <f t="shared" ca="1" si="266"/>
        <v>-5.2048300797145659</v>
      </c>
      <c r="U513" s="37">
        <f t="shared" ca="1" si="266"/>
        <v>-5.6777118460522447</v>
      </c>
    </row>
    <row r="514" spans="1:21" x14ac:dyDescent="0.2">
      <c r="A514" s="1" t="s">
        <v>201</v>
      </c>
      <c r="L514" s="6">
        <f t="shared" ref="L514:U514" ca="1" si="267">L$344-K$344</f>
        <v>0.94759001505761375</v>
      </c>
      <c r="M514" s="6">
        <f t="shared" ca="1" si="267"/>
        <v>1.0667846195777848</v>
      </c>
      <c r="N514" s="6">
        <f t="shared" ca="1" si="267"/>
        <v>1.0475647349464694</v>
      </c>
      <c r="O514" s="6">
        <f t="shared" ca="1" si="267"/>
        <v>1.0756758857329878</v>
      </c>
      <c r="P514" s="6">
        <f t="shared" ca="1" si="267"/>
        <v>1.1092694458602423</v>
      </c>
      <c r="Q514" s="6">
        <f t="shared" ca="1" si="267"/>
        <v>1.1409282695456682</v>
      </c>
      <c r="R514" s="6">
        <f t="shared" ca="1" si="267"/>
        <v>1.1711112425381849</v>
      </c>
      <c r="S514" s="6">
        <f t="shared" ca="1" si="267"/>
        <v>1.2047462405017875</v>
      </c>
      <c r="T514" s="6">
        <f t="shared" ca="1" si="267"/>
        <v>1.2398109681439244</v>
      </c>
      <c r="U514" s="6">
        <f t="shared" ca="1" si="267"/>
        <v>1.2767074688663413</v>
      </c>
    </row>
    <row r="515" spans="1:21" x14ac:dyDescent="0.2">
      <c r="A515" s="1" t="s">
        <v>202</v>
      </c>
      <c r="L515" s="6">
        <f ca="1">L$147-L$323</f>
        <v>0.30486108863905492</v>
      </c>
      <c r="M515" s="6">
        <f t="shared" ref="M515:U515" ca="1" si="268">M$147-M$323</f>
        <v>0.31491484132364433</v>
      </c>
      <c r="N515" s="6">
        <f t="shared" ca="1" si="268"/>
        <v>0.31575175226937596</v>
      </c>
      <c r="O515" s="6">
        <f t="shared" ca="1" si="268"/>
        <v>0.31532842787556692</v>
      </c>
      <c r="P515" s="6">
        <f t="shared" ca="1" si="268"/>
        <v>0.31155114808656204</v>
      </c>
      <c r="Q515" s="6">
        <f t="shared" ca="1" si="268"/>
        <v>0.30640274436415771</v>
      </c>
      <c r="R515" s="6">
        <f t="shared" ca="1" si="268"/>
        <v>0.3029023993988344</v>
      </c>
      <c r="S515" s="6">
        <f t="shared" ca="1" si="268"/>
        <v>0.30001586189788415</v>
      </c>
      <c r="T515" s="6">
        <f t="shared" ca="1" si="268"/>
        <v>0.29873231536095901</v>
      </c>
      <c r="U515" s="6">
        <f t="shared" ca="1" si="268"/>
        <v>0.29601462734746742</v>
      </c>
    </row>
    <row r="516" spans="1:21" x14ac:dyDescent="0.2">
      <c r="A516" s="1" t="s">
        <v>203</v>
      </c>
      <c r="L516" s="6">
        <f t="shared" ref="L516:U516" ca="1" si="269">L$398-K$398</f>
        <v>1.4801763666359435E-2</v>
      </c>
      <c r="M516" s="6">
        <f t="shared" ca="1" si="269"/>
        <v>1.5144968208211207E-2</v>
      </c>
      <c r="N516" s="6">
        <f t="shared" ca="1" si="269"/>
        <v>1.5502271724389005E-2</v>
      </c>
      <c r="O516" s="6">
        <f t="shared" ca="1" si="269"/>
        <v>1.5841537808098494E-2</v>
      </c>
      <c r="P516" s="6">
        <f t="shared" ca="1" si="269"/>
        <v>1.6157627144802733E-2</v>
      </c>
      <c r="Q516" s="6">
        <f t="shared" ca="1" si="269"/>
        <v>1.6482443432962235E-2</v>
      </c>
      <c r="R516" s="6">
        <f t="shared" ca="1" si="269"/>
        <v>1.6777005858652605E-2</v>
      </c>
      <c r="S516" s="6">
        <f t="shared" ca="1" si="269"/>
        <v>1.7063764359702804E-2</v>
      </c>
      <c r="T516" s="6">
        <f t="shared" ca="1" si="269"/>
        <v>1.7368719148492806E-2</v>
      </c>
      <c r="U516" s="6">
        <f t="shared" ca="1" si="269"/>
        <v>1.7633439633616854E-2</v>
      </c>
    </row>
    <row r="517" spans="1:21" x14ac:dyDescent="0.2">
      <c r="A517" s="1" t="s">
        <v>204</v>
      </c>
      <c r="L517" s="6">
        <f t="shared" ref="L517:U517" ca="1" si="270">L$402-K$402</f>
        <v>3.8662206696530532E-2</v>
      </c>
      <c r="M517" s="6">
        <f t="shared" ca="1" si="270"/>
        <v>3.9558656959847616E-2</v>
      </c>
      <c r="N517" s="6">
        <f t="shared" ca="1" si="270"/>
        <v>4.0491933744104092E-2</v>
      </c>
      <c r="O517" s="6">
        <f t="shared" ca="1" si="270"/>
        <v>4.1378096754753235E-2</v>
      </c>
      <c r="P517" s="6">
        <f t="shared" ca="1" si="270"/>
        <v>4.2203722102224672E-2</v>
      </c>
      <c r="Q517" s="6">
        <f t="shared" ca="1" si="270"/>
        <v>4.305214224689724E-2</v>
      </c>
      <c r="R517" s="6">
        <f t="shared" ca="1" si="270"/>
        <v>4.3821539302800749E-2</v>
      </c>
      <c r="S517" s="6">
        <f t="shared" ca="1" si="270"/>
        <v>4.4570552507543715E-2</v>
      </c>
      <c r="T517" s="6">
        <f t="shared" ca="1" si="270"/>
        <v>4.5367094415863063E-2</v>
      </c>
      <c r="U517" s="6">
        <f t="shared" ca="1" si="270"/>
        <v>4.6058544323007489E-2</v>
      </c>
    </row>
    <row r="518" spans="1:21" x14ac:dyDescent="0.2">
      <c r="A518" s="1" t="s">
        <v>691</v>
      </c>
      <c r="L518" s="6">
        <f t="shared" ref="L518:U518" ca="1" si="271">L$455-K$455</f>
        <v>5.3463970362889968E-2</v>
      </c>
      <c r="M518" s="6">
        <f t="shared" ca="1" si="271"/>
        <v>5.4703625168058823E-2</v>
      </c>
      <c r="N518" s="6">
        <f t="shared" ca="1" si="271"/>
        <v>5.5994205468493097E-2</v>
      </c>
      <c r="O518" s="6">
        <f t="shared" ca="1" si="271"/>
        <v>5.7219634562851729E-2</v>
      </c>
      <c r="P518" s="6">
        <f t="shared" ca="1" si="271"/>
        <v>5.8361349247027405E-2</v>
      </c>
      <c r="Q518" s="6">
        <f t="shared" ca="1" si="271"/>
        <v>5.9534585679859475E-2</v>
      </c>
      <c r="R518" s="6">
        <f t="shared" ca="1" si="271"/>
        <v>6.0598545161453354E-2</v>
      </c>
      <c r="S518" s="6">
        <f t="shared" ca="1" si="271"/>
        <v>6.1634316867246519E-2</v>
      </c>
      <c r="T518" s="6">
        <f t="shared" ca="1" si="271"/>
        <v>6.2735813564355869E-2</v>
      </c>
      <c r="U518" s="6">
        <f t="shared" ca="1" si="271"/>
        <v>6.3691983956624343E-2</v>
      </c>
    </row>
    <row r="519" spans="1:21" x14ac:dyDescent="0.2">
      <c r="A519" s="1" t="s">
        <v>692</v>
      </c>
      <c r="L519" s="6">
        <f t="shared" ref="L519:U519" ca="1" si="272">SUM(L$451-K$451,L$470-K$470)</f>
        <v>0.57379178372623585</v>
      </c>
      <c r="M519" s="6">
        <f t="shared" ca="1" si="272"/>
        <v>0.62279603696750385</v>
      </c>
      <c r="N519" s="6">
        <f t="shared" ca="1" si="272"/>
        <v>0.62484955352706884</v>
      </c>
      <c r="O519" s="6">
        <f t="shared" ca="1" si="272"/>
        <v>0.64213668927463807</v>
      </c>
      <c r="P519" s="6">
        <f t="shared" ca="1" si="272"/>
        <v>0.66100811931961712</v>
      </c>
      <c r="Q519" s="6">
        <f t="shared" ca="1" si="272"/>
        <v>0.67723071884147412</v>
      </c>
      <c r="R519" s="6">
        <f t="shared" ca="1" si="272"/>
        <v>0.69277533674775249</v>
      </c>
      <c r="S519" s="6">
        <f t="shared" ca="1" si="272"/>
        <v>0.71034735947924776</v>
      </c>
      <c r="T519" s="6">
        <f t="shared" ca="1" si="272"/>
        <v>0.72889921925502321</v>
      </c>
      <c r="U519" s="6">
        <f t="shared" ca="1" si="272"/>
        <v>0.74773839586578994</v>
      </c>
    </row>
    <row r="520" spans="1:21" ht="15" x14ac:dyDescent="0.25">
      <c r="A520" s="2" t="s">
        <v>207</v>
      </c>
      <c r="L520" s="37">
        <f t="shared" ref="L520:U520" ca="1" si="273">SUM(L$514:L$517,-L$518,-L$519)</f>
        <v>0.67865931997043294</v>
      </c>
      <c r="M520" s="37">
        <f t="shared" ca="1" si="273"/>
        <v>0.7589034239339254</v>
      </c>
      <c r="N520" s="37">
        <f t="shared" ca="1" si="273"/>
        <v>0.73846693368877681</v>
      </c>
      <c r="O520" s="37">
        <f t="shared" ca="1" si="273"/>
        <v>0.74886762433391674</v>
      </c>
      <c r="P520" s="37">
        <f t="shared" ca="1" si="273"/>
        <v>0.75981247462718726</v>
      </c>
      <c r="Q520" s="37">
        <f t="shared" ca="1" si="273"/>
        <v>0.77010029506835176</v>
      </c>
      <c r="R520" s="37">
        <f t="shared" ca="1" si="273"/>
        <v>0.78123830518926685</v>
      </c>
      <c r="S520" s="37">
        <f t="shared" ca="1" si="273"/>
        <v>0.79441474292042358</v>
      </c>
      <c r="T520" s="37">
        <f t="shared" ca="1" si="273"/>
        <v>0.80964406424986013</v>
      </c>
      <c r="U520" s="37">
        <f t="shared" ca="1" si="273"/>
        <v>0.82498370034801871</v>
      </c>
    </row>
    <row r="521" spans="1:21" ht="15" x14ac:dyDescent="0.25">
      <c r="A521" s="2" t="s">
        <v>1230</v>
      </c>
      <c r="L521" s="27">
        <f t="shared" ref="L521:U521" ca="1" si="274">SUM(L$506,L$507,L$513,L$520)</f>
        <v>11.682198925671187</v>
      </c>
      <c r="M521" s="27">
        <f t="shared" ca="1" si="274"/>
        <v>12.815906818616774</v>
      </c>
      <c r="N521" s="27">
        <f t="shared" ca="1" si="274"/>
        <v>13.711745006793276</v>
      </c>
      <c r="O521" s="27">
        <f t="shared" ca="1" si="274"/>
        <v>14.489575149311117</v>
      </c>
      <c r="P521" s="27">
        <f t="shared" ca="1" si="274"/>
        <v>15.199969021317306</v>
      </c>
      <c r="Q521" s="27">
        <f t="shared" ca="1" si="274"/>
        <v>15.706938016110577</v>
      </c>
      <c r="R521" s="27">
        <f t="shared" ca="1" si="274"/>
        <v>16.184224682990159</v>
      </c>
      <c r="S521" s="27">
        <f t="shared" ca="1" si="274"/>
        <v>16.906756040799706</v>
      </c>
      <c r="T521" s="27">
        <f t="shared" ca="1" si="274"/>
        <v>17.631957691972818</v>
      </c>
      <c r="U521" s="27">
        <f t="shared" ca="1" si="274"/>
        <v>18.34912991514927</v>
      </c>
    </row>
    <row r="522" spans="1:21" ht="15" x14ac:dyDescent="0.25">
      <c r="A522" s="26" t="s">
        <v>669</v>
      </c>
      <c r="B522" s="4" t="str">
        <f>$B$58</f>
        <v>Projected Years only</v>
      </c>
      <c r="L522" s="5" t="str">
        <f t="shared" ref="L522:U522" ca="1" si="275">IF(ROUND(SUM(L$46,-L$521),3)=0,"OK","ERROR")</f>
        <v>OK</v>
      </c>
      <c r="M522" s="5" t="str">
        <f t="shared" ca="1" si="275"/>
        <v>OK</v>
      </c>
      <c r="N522" s="5" t="str">
        <f t="shared" ca="1" si="275"/>
        <v>OK</v>
      </c>
      <c r="O522" s="5" t="str">
        <f t="shared" ca="1" si="275"/>
        <v>OK</v>
      </c>
      <c r="P522" s="5" t="str">
        <f t="shared" ca="1" si="275"/>
        <v>OK</v>
      </c>
      <c r="Q522" s="5" t="str">
        <f t="shared" ca="1" si="275"/>
        <v>OK</v>
      </c>
      <c r="R522" s="5" t="str">
        <f t="shared" ca="1" si="275"/>
        <v>OK</v>
      </c>
      <c r="S522" s="5" t="str">
        <f t="shared" ca="1" si="275"/>
        <v>OK</v>
      </c>
      <c r="T522" s="5" t="str">
        <f t="shared" ca="1" si="275"/>
        <v>OK</v>
      </c>
      <c r="U522" s="5" t="str">
        <f t="shared" ca="1" si="275"/>
        <v>OK</v>
      </c>
    </row>
    <row r="523" spans="1:21" ht="15" x14ac:dyDescent="0.25">
      <c r="A523" s="26"/>
      <c r="B523" s="4"/>
      <c r="L523" s="5"/>
      <c r="M523" s="5"/>
      <c r="N523" s="5"/>
      <c r="O523" s="5"/>
      <c r="P523" s="5"/>
      <c r="Q523" s="5"/>
      <c r="R523" s="5"/>
      <c r="S523" s="5"/>
      <c r="T523" s="5"/>
      <c r="U523" s="5"/>
    </row>
    <row r="524" spans="1:21" ht="15" x14ac:dyDescent="0.25">
      <c r="A524" s="26" t="s">
        <v>1237</v>
      </c>
      <c r="B524" s="4"/>
      <c r="L524" s="5"/>
      <c r="M524" s="5"/>
      <c r="N524" s="5"/>
      <c r="O524" s="5"/>
      <c r="P524" s="5"/>
      <c r="Q524" s="5"/>
      <c r="R524" s="5"/>
      <c r="S524" s="5"/>
      <c r="T524" s="5"/>
      <c r="U524" s="5"/>
    </row>
    <row r="525" spans="1:21" x14ac:dyDescent="0.2">
      <c r="A525" s="1" t="s">
        <v>1238</v>
      </c>
      <c r="B525" s="4" t="str">
        <f>$B$37</f>
        <v>From Fiscal</v>
      </c>
      <c r="D525" s="14">
        <f>'Fiscal Forecasts'!D$139</f>
        <v>95.649000000000001</v>
      </c>
      <c r="E525" s="14">
        <f>'Fiscal Forecasts'!E$139</f>
        <v>95.037000000000006</v>
      </c>
      <c r="F525" s="14">
        <f>'Fiscal Forecasts'!F$139</f>
        <v>94.106999999999999</v>
      </c>
      <c r="G525" s="15">
        <f>'Fiscal Forecasts'!G$139 +IF($C$2="Yes",'Fiscal Forecast Adjuster'!C$38/1000,0) +IF($C$3="Yes",'NZS Fund Adjuster'!N$11,0)</f>
        <v>97.248000000000005</v>
      </c>
      <c r="H525" s="15">
        <f>'Fiscal Forecasts'!H$139 +IF($C$2="Yes",'Fiscal Forecast Adjuster'!D$38/1000,0) +IF($C$3="Yes",'NZS Fund Adjuster'!O$11,0)</f>
        <v>91.655000000000001</v>
      </c>
      <c r="I525" s="15">
        <f>'Fiscal Forecasts'!I$139 +IF($C$2="Yes",'Fiscal Forecast Adjuster'!E$38/1000,0) +IF($C$3="Yes",'NZS Fund Adjuster'!P$11,0)</f>
        <v>93.869</v>
      </c>
      <c r="J525" s="15">
        <f>'Fiscal Forecasts'!J$139 +IF($C$2="Yes",'Fiscal Forecast Adjuster'!F$38/1000,0) +IF($C$3="Yes",'NZS Fund Adjuster'!Q$11,0)</f>
        <v>92.787999999999997</v>
      </c>
      <c r="K525" s="15">
        <f>'Fiscal Forecasts'!K$139 +IF($C$2="Yes",'Fiscal Forecast Adjuster'!G$38/1000,0) +IF($C$3="Yes",'NZS Fund Adjuster'!R$11,0)</f>
        <v>97.885000000000005</v>
      </c>
      <c r="L525" s="6">
        <f t="shared" ref="L525:U525" ca="1" si="276">SUM(K$525,L$503)</f>
        <v>98.505101808562415</v>
      </c>
      <c r="M525" s="6">
        <f t="shared" ca="1" si="276"/>
        <v>100.40256791655375</v>
      </c>
      <c r="N525" s="6">
        <f t="shared" ca="1" si="276"/>
        <v>103.46133282500915</v>
      </c>
      <c r="O525" s="6">
        <f t="shared" ca="1" si="276"/>
        <v>107.74906256694267</v>
      </c>
      <c r="P525" s="6">
        <f t="shared" ca="1" si="276"/>
        <v>113.37369012022697</v>
      </c>
      <c r="Q525" s="6">
        <f t="shared" ca="1" si="276"/>
        <v>119.37415249595799</v>
      </c>
      <c r="R525" s="6">
        <f t="shared" ca="1" si="276"/>
        <v>125.67225032355796</v>
      </c>
      <c r="S525" s="6">
        <f t="shared" ca="1" si="276"/>
        <v>132.09773531633957</v>
      </c>
      <c r="T525" s="6">
        <f t="shared" ca="1" si="276"/>
        <v>138.69503296990064</v>
      </c>
      <c r="U525" s="6">
        <f t="shared" ca="1" si="276"/>
        <v>145.50031460663308</v>
      </c>
    </row>
    <row r="526" spans="1:21" x14ac:dyDescent="0.2">
      <c r="A526" s="1" t="s">
        <v>1239</v>
      </c>
      <c r="B526" s="4" t="str">
        <f>$B$37</f>
        <v>From Fiscal</v>
      </c>
      <c r="D526" s="14">
        <f>'Fiscal Forecasts'!D$372</f>
        <v>3.9220000000000002</v>
      </c>
      <c r="E526" s="14">
        <f>'Fiscal Forecasts'!E$372</f>
        <v>3.6040000000000001</v>
      </c>
      <c r="F526" s="14">
        <f>'Fiscal Forecasts'!F$372</f>
        <v>3.53</v>
      </c>
      <c r="G526" s="15">
        <f>'Fiscal Forecasts'!G$372 +IF($C$2="Yes",'Fiscal Forecast Adjuster'!C$35/1000,0) +IF($C$3="Yes",'NZS Fund Adjuster'!N$9,0)</f>
        <v>3.488</v>
      </c>
      <c r="H526" s="15">
        <f>'Fiscal Forecasts'!H$372 +IF($C$2="Yes",'Fiscal Forecast Adjuster'!D$35/1000,0) +IF($C$3="Yes",'NZS Fund Adjuster'!O$9,0)</f>
        <v>3.4420000000000002</v>
      </c>
      <c r="I526" s="15">
        <f>'Fiscal Forecasts'!I$372 +IF($C$2="Yes",'Fiscal Forecast Adjuster'!E$35/1000,0) +IF($C$3="Yes",'NZS Fund Adjuster'!P$9,0)</f>
        <v>3.1989999999999998</v>
      </c>
      <c r="J526" s="15">
        <f>'Fiscal Forecasts'!J$372 +IF($C$2="Yes",'Fiscal Forecast Adjuster'!F$35/1000,0) +IF($C$3="Yes",'NZS Fund Adjuster'!Q$9,0)</f>
        <v>3.4340000000000002</v>
      </c>
      <c r="K526" s="15">
        <f>'Fiscal Forecasts'!K$372 +IF($C$2="Yes",'Fiscal Forecast Adjuster'!G$35/1000,0) +IF($C$3="Yes",'NZS Fund Adjuster'!R$9,0)</f>
        <v>3.0129999999999999</v>
      </c>
      <c r="L526" s="6">
        <f t="shared" ref="L526:U526" ca="1" si="277">(2*K$525-SUM(L$474,L$475,L$476,L$477,L$488,L$494)+SUM(L$478,L$479,L$481,L$493,L$336-K$336))/(2/L$225-1)</f>
        <v>3.6478404652948835</v>
      </c>
      <c r="M526" s="6">
        <f t="shared" ca="1" si="277"/>
        <v>3.9550450495675262</v>
      </c>
      <c r="N526" s="6">
        <f t="shared" ca="1" si="277"/>
        <v>4.3222278329070107</v>
      </c>
      <c r="O526" s="6">
        <f t="shared" ca="1" si="277"/>
        <v>4.755927187713004</v>
      </c>
      <c r="P526" s="6">
        <f t="shared" ca="1" si="277"/>
        <v>5.2701997906890403</v>
      </c>
      <c r="Q526" s="6">
        <f t="shared" ca="1" si="277"/>
        <v>5.8537020388762802</v>
      </c>
      <c r="R526" s="6">
        <f t="shared" ca="1" si="277"/>
        <v>6.4857836999027878</v>
      </c>
      <c r="S526" s="6">
        <f t="shared" ca="1" si="277"/>
        <v>6.8228076350860238</v>
      </c>
      <c r="T526" s="6">
        <f t="shared" ca="1" si="277"/>
        <v>7.1677055322716026</v>
      </c>
      <c r="U526" s="6">
        <f t="shared" ca="1" si="277"/>
        <v>7.5226471993731199</v>
      </c>
    </row>
    <row r="527" spans="1:21" x14ac:dyDescent="0.2">
      <c r="A527" s="1" t="str">
        <f ca="1">CONCATENATE("Core Crown borrowings with ",100*OFFSET(Assumptions!$B$27,0,$C$1),"% of GDP floor for Gross sovereign-issued debt (GSID)")</f>
        <v>Core Crown borrowings with 20% of GDP floor for Gross sovereign-issued debt (GSID)</v>
      </c>
      <c r="B527" s="4"/>
      <c r="D527" s="14">
        <f>D$525</f>
        <v>95.649000000000001</v>
      </c>
      <c r="E527" s="14">
        <f t="shared" ref="E527:K527" si="278">E$525</f>
        <v>95.037000000000006</v>
      </c>
      <c r="F527" s="14">
        <f t="shared" si="278"/>
        <v>94.106999999999999</v>
      </c>
      <c r="G527" s="15">
        <f t="shared" si="278"/>
        <v>97.248000000000005</v>
      </c>
      <c r="H527" s="15">
        <f t="shared" si="278"/>
        <v>91.655000000000001</v>
      </c>
      <c r="I527" s="15">
        <f t="shared" si="278"/>
        <v>93.869</v>
      </c>
      <c r="J527" s="15">
        <f t="shared" si="278"/>
        <v>92.787999999999997</v>
      </c>
      <c r="K527" s="15">
        <f t="shared" si="278"/>
        <v>97.885000000000005</v>
      </c>
      <c r="L527" s="6">
        <f ca="1">MAX(L$525,SUM(L$69,OFFSET(Assumptions!$B$27,0,$C$1)*L$13))</f>
        <v>98.505101808562415</v>
      </c>
      <c r="M527" s="6">
        <f ca="1">MAX(M$525,SUM(M$69,OFFSET(Assumptions!$B$27,0,$C$1)*M$13))</f>
        <v>100.40256791655375</v>
      </c>
      <c r="N527" s="6">
        <f ca="1">MAX(N$525,SUM(N$69,OFFSET(Assumptions!$B$27,0,$C$1)*N$13))</f>
        <v>103.46133282500915</v>
      </c>
      <c r="O527" s="6">
        <f ca="1">MAX(O$525,SUM(O$69,OFFSET(Assumptions!$B$27,0,$C$1)*O$13))</f>
        <v>107.74906256694267</v>
      </c>
      <c r="P527" s="6">
        <f ca="1">MAX(P$525,SUM(P$69,OFFSET(Assumptions!$B$27,0,$C$1)*P$13))</f>
        <v>113.37369012022697</v>
      </c>
      <c r="Q527" s="6">
        <f ca="1">MAX(Q$525,SUM(Q$69,OFFSET(Assumptions!$B$27,0,$C$1)*Q$13))</f>
        <v>119.37415249595799</v>
      </c>
      <c r="R527" s="6">
        <f ca="1">MAX(R$525,SUM(R$69,OFFSET(Assumptions!$B$27,0,$C$1)*R$13))</f>
        <v>125.67225032355796</v>
      </c>
      <c r="S527" s="6">
        <f ca="1">MAX(S$525,SUM(S$69,OFFSET(Assumptions!$B$27,0,$C$1)*S$13))</f>
        <v>132.09773531633957</v>
      </c>
      <c r="T527" s="6">
        <f ca="1">MAX(T$525,SUM(T$69,OFFSET(Assumptions!$B$27,0,$C$1)*T$13))</f>
        <v>138.69503296990064</v>
      </c>
      <c r="U527" s="6">
        <f ca="1">MAX(U$525,SUM(U$69,OFFSET(Assumptions!$B$27,0,$C$1)*U$13))</f>
        <v>145.50031460663308</v>
      </c>
    </row>
    <row r="528" spans="1:21" x14ac:dyDescent="0.2">
      <c r="A528" s="1" t="str">
        <f ca="1">CONCATENATE("Financial asset generated by GSID having ",100*OFFSET(Assumptions!$B$27,0,$C$1),"% of GDP floor")</f>
        <v>Financial asset generated by GSID having 20% of GDP floor</v>
      </c>
      <c r="B528" s="4"/>
      <c r="D528" s="14">
        <f>SUM(D$527,-D$525)</f>
        <v>0</v>
      </c>
      <c r="E528" s="14">
        <f t="shared" ref="E528:U528" si="279">SUM(E$527,-E$525)</f>
        <v>0</v>
      </c>
      <c r="F528" s="14">
        <f t="shared" si="279"/>
        <v>0</v>
      </c>
      <c r="G528" s="15">
        <f t="shared" si="279"/>
        <v>0</v>
      </c>
      <c r="H528" s="15">
        <f t="shared" si="279"/>
        <v>0</v>
      </c>
      <c r="I528" s="15">
        <f t="shared" si="279"/>
        <v>0</v>
      </c>
      <c r="J528" s="15">
        <f t="shared" si="279"/>
        <v>0</v>
      </c>
      <c r="K528" s="15">
        <f t="shared" si="279"/>
        <v>0</v>
      </c>
      <c r="L528" s="6">
        <f t="shared" ca="1" si="279"/>
        <v>0</v>
      </c>
      <c r="M528" s="6">
        <f t="shared" ca="1" si="279"/>
        <v>0</v>
      </c>
      <c r="N528" s="6">
        <f t="shared" ca="1" si="279"/>
        <v>0</v>
      </c>
      <c r="O528" s="6">
        <f t="shared" ca="1" si="279"/>
        <v>0</v>
      </c>
      <c r="P528" s="6">
        <f t="shared" ca="1" si="279"/>
        <v>0</v>
      </c>
      <c r="Q528" s="6">
        <f t="shared" ca="1" si="279"/>
        <v>0</v>
      </c>
      <c r="R528" s="6">
        <f t="shared" ca="1" si="279"/>
        <v>0</v>
      </c>
      <c r="S528" s="6">
        <f t="shared" ca="1" si="279"/>
        <v>0</v>
      </c>
      <c r="T528" s="6">
        <f t="shared" ca="1" si="279"/>
        <v>0</v>
      </c>
      <c r="U528" s="6">
        <f t="shared" ca="1" si="279"/>
        <v>0</v>
      </c>
    </row>
    <row r="529" spans="1:21" x14ac:dyDescent="0.2">
      <c r="A529" s="1" t="str">
        <f ca="1">CONCATENATE("Core Crown interest payments with ",100*OFFSET(Assumptions!$B$27,0,$C$1),"% of GDP floor for GSID")</f>
        <v>Core Crown interest payments with 20% of GDP floor for GSID</v>
      </c>
      <c r="D529" s="14">
        <f>D$526*D$527/SUM(D$527,-D$528)</f>
        <v>3.9220000000000002</v>
      </c>
      <c r="E529" s="14">
        <f t="shared" ref="E529:U529" si="280">E$526*E$527/SUM(E$527,-E$528)</f>
        <v>3.6039999999999996</v>
      </c>
      <c r="F529" s="14">
        <f t="shared" si="280"/>
        <v>3.53</v>
      </c>
      <c r="G529" s="15">
        <f t="shared" si="280"/>
        <v>3.488</v>
      </c>
      <c r="H529" s="15">
        <f t="shared" si="280"/>
        <v>3.4420000000000002</v>
      </c>
      <c r="I529" s="15">
        <f t="shared" si="280"/>
        <v>3.1989999999999998</v>
      </c>
      <c r="J529" s="15">
        <f t="shared" si="280"/>
        <v>3.4339999999999997</v>
      </c>
      <c r="K529" s="15">
        <f t="shared" si="280"/>
        <v>3.0129999999999999</v>
      </c>
      <c r="L529" s="6">
        <f t="shared" ca="1" si="280"/>
        <v>3.6478404652948835</v>
      </c>
      <c r="M529" s="6">
        <f t="shared" ca="1" si="280"/>
        <v>3.9550450495675262</v>
      </c>
      <c r="N529" s="6">
        <f t="shared" ca="1" si="280"/>
        <v>4.3222278329070107</v>
      </c>
      <c r="O529" s="6">
        <f t="shared" ca="1" si="280"/>
        <v>4.755927187713004</v>
      </c>
      <c r="P529" s="6">
        <f t="shared" ca="1" si="280"/>
        <v>5.2701997906890412</v>
      </c>
      <c r="Q529" s="6">
        <f t="shared" ca="1" si="280"/>
        <v>5.8537020388762802</v>
      </c>
      <c r="R529" s="6">
        <f t="shared" ca="1" si="280"/>
        <v>6.4857836999027878</v>
      </c>
      <c r="S529" s="6">
        <f t="shared" ca="1" si="280"/>
        <v>6.8228076350860238</v>
      </c>
      <c r="T529" s="6">
        <f t="shared" ca="1" si="280"/>
        <v>7.1677055322716026</v>
      </c>
      <c r="U529" s="6">
        <f t="shared" ca="1" si="280"/>
        <v>7.5226471993731208</v>
      </c>
    </row>
    <row r="530" spans="1:21" x14ac:dyDescent="0.2">
      <c r="A530" s="1" t="str">
        <f ca="1">CONCATENATE("Core Crown interest receipts with ",100*OFFSET(Assumptions!$B$27,0,$C$1),"% of GDP floor for GSID")</f>
        <v>Core Crown interest receipts with 20% of GDP floor for GSID</v>
      </c>
      <c r="D530" s="14">
        <f>D$526*D$528/SUM(D$527,-D$528)</f>
        <v>0</v>
      </c>
      <c r="E530" s="14">
        <f t="shared" ref="E530:U530" si="281">E$526*E$528/SUM(E$527,-E$528)</f>
        <v>0</v>
      </c>
      <c r="F530" s="14">
        <f t="shared" si="281"/>
        <v>0</v>
      </c>
      <c r="G530" s="15">
        <f t="shared" si="281"/>
        <v>0</v>
      </c>
      <c r="H530" s="15">
        <f t="shared" si="281"/>
        <v>0</v>
      </c>
      <c r="I530" s="15">
        <f t="shared" si="281"/>
        <v>0</v>
      </c>
      <c r="J530" s="15">
        <f t="shared" si="281"/>
        <v>0</v>
      </c>
      <c r="K530" s="15">
        <f t="shared" si="281"/>
        <v>0</v>
      </c>
      <c r="L530" s="6">
        <f t="shared" ca="1" si="281"/>
        <v>0</v>
      </c>
      <c r="M530" s="6">
        <f t="shared" ca="1" si="281"/>
        <v>0</v>
      </c>
      <c r="N530" s="6">
        <f t="shared" ca="1" si="281"/>
        <v>0</v>
      </c>
      <c r="O530" s="6">
        <f t="shared" ca="1" si="281"/>
        <v>0</v>
      </c>
      <c r="P530" s="6">
        <f t="shared" ca="1" si="281"/>
        <v>0</v>
      </c>
      <c r="Q530" s="6">
        <f t="shared" ca="1" si="281"/>
        <v>0</v>
      </c>
      <c r="R530" s="6">
        <f t="shared" ca="1" si="281"/>
        <v>0</v>
      </c>
      <c r="S530" s="6">
        <f t="shared" ca="1" si="281"/>
        <v>0</v>
      </c>
      <c r="T530" s="6">
        <f t="shared" ca="1" si="281"/>
        <v>0</v>
      </c>
      <c r="U530" s="6">
        <f t="shared" ca="1" si="281"/>
        <v>0</v>
      </c>
    </row>
    <row r="532" spans="1:21" x14ac:dyDescent="0.2">
      <c r="A532" s="1" t="s">
        <v>1240</v>
      </c>
      <c r="B532" s="4" t="str">
        <f>$B$37</f>
        <v>From Fiscal</v>
      </c>
      <c r="D532" s="14">
        <f>'Fiscal Forecasts'!D$130</f>
        <v>112.58</v>
      </c>
      <c r="E532" s="14">
        <f>'Fiscal Forecasts'!E$130</f>
        <v>113.956</v>
      </c>
      <c r="F532" s="14">
        <f>'Fiscal Forecasts'!F$130</f>
        <v>111.806</v>
      </c>
      <c r="G532" s="15">
        <f>'Fiscal Forecasts'!G$130 +IF($C$2="Yes",'Fiscal Forecast Adjuster'!C$38/1000,0) +IF($C$3="Yes",'NZS Fund Adjuster'!N$11,0)</f>
        <v>115.97799999999999</v>
      </c>
      <c r="H532" s="15">
        <f>'Fiscal Forecasts'!H$130 +IF($C$2="Yes",'Fiscal Forecast Adjuster'!D$38/1000,0) +IF($C$3="Yes",'NZS Fund Adjuster'!O$11,0)</f>
        <v>112.89</v>
      </c>
      <c r="I532" s="15">
        <f>'Fiscal Forecasts'!I$130 +IF($C$2="Yes",'Fiscal Forecast Adjuster'!E$38/1000,0) +IF($C$3="Yes",'NZS Fund Adjuster'!P$11,0)</f>
        <v>117.176</v>
      </c>
      <c r="J532" s="15">
        <f>'Fiscal Forecasts'!J$130 +IF($C$2="Yes",'Fiscal Forecast Adjuster'!F$38/1000,0) +IF($C$3="Yes",'NZS Fund Adjuster'!Q$11,0)</f>
        <v>118.173</v>
      </c>
      <c r="K532" s="15">
        <f>'Fiscal Forecasts'!K$130 +IF($C$2="Yes",'Fiscal Forecast Adjuster'!G$38/1000,0) +IF($C$3="Yes",'NZS Fund Adjuster'!R$11,0)</f>
        <v>125.399</v>
      </c>
      <c r="L532" s="6">
        <f t="shared" ref="L532:U532" ca="1" si="282">SUM(K$532,L$99)</f>
        <v>125.81344376421633</v>
      </c>
      <c r="M532" s="6">
        <f t="shared" ca="1" si="282"/>
        <v>129.20730257883037</v>
      </c>
      <c r="N532" s="6">
        <f t="shared" ca="1" si="282"/>
        <v>133.80972847792631</v>
      </c>
      <c r="O532" s="6">
        <f t="shared" ca="1" si="282"/>
        <v>139.65922349759953</v>
      </c>
      <c r="P532" s="6">
        <f t="shared" ca="1" si="282"/>
        <v>146.93661609754787</v>
      </c>
      <c r="Q532" s="6">
        <f t="shared" ca="1" si="282"/>
        <v>154.64832835312424</v>
      </c>
      <c r="R532" s="6">
        <f t="shared" ca="1" si="282"/>
        <v>162.82196366348731</v>
      </c>
      <c r="S532" s="6">
        <f t="shared" ca="1" si="282"/>
        <v>171.08746371468635</v>
      </c>
      <c r="T532" s="6">
        <f t="shared" ca="1" si="282"/>
        <v>179.54673750740099</v>
      </c>
      <c r="U532" s="6">
        <f t="shared" ca="1" si="282"/>
        <v>188.18035109134939</v>
      </c>
    </row>
    <row r="533" spans="1:21" x14ac:dyDescent="0.2">
      <c r="A533" s="1" t="s">
        <v>1241</v>
      </c>
      <c r="B533" s="4" t="str">
        <f>$B$37</f>
        <v>From Fiscal</v>
      </c>
      <c r="D533" s="14">
        <f>'Fiscal Forecasts'!D$77</f>
        <v>4.5979999999999999</v>
      </c>
      <c r="E533" s="14">
        <f>'Fiscal Forecasts'!E$77</f>
        <v>4.3330000000000002</v>
      </c>
      <c r="F533" s="14">
        <f>'Fiscal Forecasts'!F$77</f>
        <v>4.1790000000000003</v>
      </c>
      <c r="G533" s="15">
        <f>'Fiscal Forecasts'!G$77 +IF($C$2="Yes",'Fiscal Forecast Adjuster'!C$35/1000,0) +IF($C$3="Yes",'NZS Fund Adjuster'!N$9,0)</f>
        <v>4.08</v>
      </c>
      <c r="H533" s="15">
        <f>'Fiscal Forecasts'!H$77 +IF($C$2="Yes",'Fiscal Forecast Adjuster'!D$35/1000,0) +IF($C$3="Yes",'NZS Fund Adjuster'!O$9,0)</f>
        <v>4.0519999999999996</v>
      </c>
      <c r="I533" s="15">
        <f>'Fiscal Forecasts'!I$77 +IF($C$2="Yes",'Fiscal Forecast Adjuster'!E$35/1000,0) +IF($C$3="Yes",'NZS Fund Adjuster'!P$9,0)</f>
        <v>3.887</v>
      </c>
      <c r="J533" s="15">
        <f>'Fiscal Forecasts'!J$77 +IF($C$2="Yes",'Fiscal Forecast Adjuster'!F$35/1000,0) +IF($C$3="Yes",'NZS Fund Adjuster'!Q$9,0)</f>
        <v>4.1189999999999998</v>
      </c>
      <c r="K533" s="15">
        <f>'Fiscal Forecasts'!K$77 +IF($C$2="Yes",'Fiscal Forecast Adjuster'!G$35/1000,0) +IF($C$3="Yes",'NZS Fund Adjuster'!R$9,0)</f>
        <v>3.76</v>
      </c>
      <c r="L533" s="6">
        <f t="shared" ref="L533:U533" ca="1" si="283">(2*K$532-SUM(L$84,L$97,L$98)+SUM(L$85,L$86,L$88,L$100,L$338-K$338))/(2/L$225-1)</f>
        <v>4.6708970265751262</v>
      </c>
      <c r="M533" s="6">
        <f t="shared" ca="1" si="283"/>
        <v>5.0777636079613995</v>
      </c>
      <c r="N533" s="6">
        <f t="shared" ca="1" si="283"/>
        <v>5.5835735129457076</v>
      </c>
      <c r="O533" s="6">
        <f t="shared" ca="1" si="283"/>
        <v>6.1658243652036022</v>
      </c>
      <c r="P533" s="6">
        <f t="shared" ca="1" si="283"/>
        <v>6.8394582202191794</v>
      </c>
      <c r="Q533" s="6">
        <f t="shared" ca="1" si="283"/>
        <v>7.594583156223444</v>
      </c>
      <c r="R533" s="6">
        <f t="shared" ca="1" si="283"/>
        <v>8.4129627384402017</v>
      </c>
      <c r="S533" s="6">
        <f t="shared" ca="1" si="283"/>
        <v>8.8485998255216014</v>
      </c>
      <c r="T533" s="6">
        <f t="shared" ca="1" si="283"/>
        <v>9.2918063323853151</v>
      </c>
      <c r="U533" s="6">
        <f t="shared" ca="1" si="283"/>
        <v>9.7447678478668855</v>
      </c>
    </row>
    <row r="534" spans="1:21" x14ac:dyDescent="0.2">
      <c r="A534" s="1" t="str">
        <f ca="1">CONCATENATE("Total Crown borrowings with ",100*OFFSET(Assumptions!$B$27,0,$C$1),"% of GDP floor for Gross sovereign-issued debt (GSID)")</f>
        <v>Total Crown borrowings with 20% of GDP floor for Gross sovereign-issued debt (GSID)</v>
      </c>
      <c r="D534" s="14">
        <f>D$532</f>
        <v>112.58</v>
      </c>
      <c r="E534" s="14">
        <f t="shared" ref="E534:K534" si="284">E$532</f>
        <v>113.956</v>
      </c>
      <c r="F534" s="14">
        <f t="shared" si="284"/>
        <v>111.806</v>
      </c>
      <c r="G534" s="15">
        <f t="shared" si="284"/>
        <v>115.97799999999999</v>
      </c>
      <c r="H534" s="15">
        <f t="shared" si="284"/>
        <v>112.89</v>
      </c>
      <c r="I534" s="15">
        <f t="shared" si="284"/>
        <v>117.176</v>
      </c>
      <c r="J534" s="15">
        <f t="shared" si="284"/>
        <v>118.173</v>
      </c>
      <c r="K534" s="15">
        <f t="shared" si="284"/>
        <v>125.399</v>
      </c>
      <c r="L534" s="6">
        <f t="shared" ref="L534:U534" ca="1" si="285">SUM(L$532,L$527-L$525)</f>
        <v>125.81344376421633</v>
      </c>
      <c r="M534" s="6">
        <f t="shared" ca="1" si="285"/>
        <v>129.20730257883037</v>
      </c>
      <c r="N534" s="6">
        <f t="shared" ca="1" si="285"/>
        <v>133.80972847792631</v>
      </c>
      <c r="O534" s="6">
        <f t="shared" ca="1" si="285"/>
        <v>139.65922349759953</v>
      </c>
      <c r="P534" s="6">
        <f t="shared" ca="1" si="285"/>
        <v>146.93661609754787</v>
      </c>
      <c r="Q534" s="6">
        <f t="shared" ca="1" si="285"/>
        <v>154.64832835312424</v>
      </c>
      <c r="R534" s="6">
        <f t="shared" ca="1" si="285"/>
        <v>162.82196366348731</v>
      </c>
      <c r="S534" s="6">
        <f t="shared" ca="1" si="285"/>
        <v>171.08746371468635</v>
      </c>
      <c r="T534" s="6">
        <f t="shared" ca="1" si="285"/>
        <v>179.54673750740099</v>
      </c>
      <c r="U534" s="6">
        <f t="shared" ca="1" si="285"/>
        <v>188.18035109134939</v>
      </c>
    </row>
    <row r="535" spans="1:21" x14ac:dyDescent="0.2">
      <c r="A535" s="1" t="str">
        <f ca="1">CONCATENATE("Total Crown interest payments with ",100*OFFSET(Assumptions!$B$27,0,$C$1),"% of GDP floor for GSID")</f>
        <v>Total Crown interest payments with 20% of GDP floor for GSID</v>
      </c>
      <c r="D535" s="14">
        <f>D$533*D$534/SUM(D$534,-D$528)</f>
        <v>4.5979999999999999</v>
      </c>
      <c r="E535" s="14">
        <f t="shared" ref="E535:U535" si="286">E$533*E$534/SUM(E$534,-E$528)</f>
        <v>4.3330000000000002</v>
      </c>
      <c r="F535" s="14">
        <f t="shared" si="286"/>
        <v>4.1790000000000003</v>
      </c>
      <c r="G535" s="15">
        <f t="shared" si="286"/>
        <v>4.08</v>
      </c>
      <c r="H535" s="15">
        <f t="shared" si="286"/>
        <v>4.0519999999999996</v>
      </c>
      <c r="I535" s="15">
        <f t="shared" si="286"/>
        <v>3.887</v>
      </c>
      <c r="J535" s="15">
        <f t="shared" si="286"/>
        <v>4.1189999999999998</v>
      </c>
      <c r="K535" s="15">
        <f t="shared" si="286"/>
        <v>3.76</v>
      </c>
      <c r="L535" s="6">
        <f t="shared" ca="1" si="286"/>
        <v>4.6708970265751262</v>
      </c>
      <c r="M535" s="6">
        <f t="shared" ca="1" si="286"/>
        <v>5.0777636079613995</v>
      </c>
      <c r="N535" s="6">
        <f t="shared" ca="1" si="286"/>
        <v>5.5835735129457076</v>
      </c>
      <c r="O535" s="6">
        <f t="shared" ca="1" si="286"/>
        <v>6.1658243652036022</v>
      </c>
      <c r="P535" s="6">
        <f t="shared" ca="1" si="286"/>
        <v>6.8394582202191794</v>
      </c>
      <c r="Q535" s="6">
        <f t="shared" ca="1" si="286"/>
        <v>7.594583156223444</v>
      </c>
      <c r="R535" s="6">
        <f t="shared" ca="1" si="286"/>
        <v>8.4129627384402017</v>
      </c>
      <c r="S535" s="6">
        <f t="shared" ca="1" si="286"/>
        <v>8.8485998255216014</v>
      </c>
      <c r="T535" s="6">
        <f t="shared" ca="1" si="286"/>
        <v>9.2918063323853151</v>
      </c>
      <c r="U535" s="6">
        <f t="shared" ca="1" si="286"/>
        <v>9.7447678478668855</v>
      </c>
    </row>
    <row r="536" spans="1:21" x14ac:dyDescent="0.2">
      <c r="A536" s="1" t="str">
        <f ca="1">CONCATENATE("Total Crown interest receipts with ",100*OFFSET(Assumptions!$B$27,0,$C$1),"% of GDP floor for GSID")</f>
        <v>Total Crown interest receipts with 20% of GDP floor for GSID</v>
      </c>
      <c r="D536" s="14">
        <f>D$533*D$528/SUM(D$534,-D$528)</f>
        <v>0</v>
      </c>
      <c r="E536" s="14">
        <f t="shared" ref="E536:U536" si="287">E$533*E$528/SUM(E$534,-E$528)</f>
        <v>0</v>
      </c>
      <c r="F536" s="14">
        <f t="shared" si="287"/>
        <v>0</v>
      </c>
      <c r="G536" s="15">
        <f t="shared" si="287"/>
        <v>0</v>
      </c>
      <c r="H536" s="15">
        <f t="shared" si="287"/>
        <v>0</v>
      </c>
      <c r="I536" s="15">
        <f t="shared" si="287"/>
        <v>0</v>
      </c>
      <c r="J536" s="15">
        <f t="shared" si="287"/>
        <v>0</v>
      </c>
      <c r="K536" s="15">
        <f t="shared" si="287"/>
        <v>0</v>
      </c>
      <c r="L536" s="6">
        <f t="shared" ca="1" si="287"/>
        <v>0</v>
      </c>
      <c r="M536" s="6">
        <f t="shared" ca="1" si="287"/>
        <v>0</v>
      </c>
      <c r="N536" s="6">
        <f t="shared" ca="1" si="287"/>
        <v>0</v>
      </c>
      <c r="O536" s="6">
        <f t="shared" ca="1" si="287"/>
        <v>0</v>
      </c>
      <c r="P536" s="6">
        <f t="shared" ca="1" si="287"/>
        <v>0</v>
      </c>
      <c r="Q536" s="6">
        <f t="shared" ca="1" si="287"/>
        <v>0</v>
      </c>
      <c r="R536" s="6">
        <f t="shared" ca="1" si="287"/>
        <v>0</v>
      </c>
      <c r="S536" s="6">
        <f t="shared" ca="1" si="287"/>
        <v>0</v>
      </c>
      <c r="T536" s="6">
        <f t="shared" ca="1" si="287"/>
        <v>0</v>
      </c>
      <c r="U536" s="6">
        <f t="shared" ca="1" si="287"/>
        <v>0</v>
      </c>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3297" r:id="rId4" name="Drop Down 1">
              <controlPr defaultSize="0" autoLine="0" autoPict="0">
                <anchor moveWithCells="1">
                  <from>
                    <xdr:col>0</xdr:col>
                    <xdr:colOff>47625</xdr:colOff>
                    <xdr:row>6</xdr:row>
                    <xdr:rowOff>0</xdr:rowOff>
                  </from>
                  <to>
                    <xdr:col>0</xdr:col>
                    <xdr:colOff>5629275</xdr:colOff>
                    <xdr:row>7</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1"/>
  <sheetViews>
    <sheetView tabSelected="1" workbookViewId="0">
      <pane ySplit="3" topLeftCell="A4" activePane="bottomLeft" state="frozen"/>
      <selection pane="bottomLeft"/>
    </sheetView>
  </sheetViews>
  <sheetFormatPr defaultColWidth="8.7109375" defaultRowHeight="12.75" x14ac:dyDescent="0.2"/>
  <cols>
    <col min="1" max="2" width="8.7109375" style="28"/>
    <col min="3" max="3" width="5.7109375" style="28" customWidth="1"/>
    <col min="4" max="7" width="8.7109375" style="28"/>
    <col min="8" max="8" width="5.7109375" style="28" customWidth="1"/>
    <col min="9" max="12" width="8.7109375" style="28"/>
    <col min="13" max="13" width="5.7109375" style="28" customWidth="1"/>
    <col min="14" max="207" width="8.7109375" style="28"/>
    <col min="208" max="208" width="5.7109375" style="28" customWidth="1"/>
    <col min="209" max="212" width="8.7109375" style="28"/>
    <col min="213" max="213" width="5.7109375" style="28" customWidth="1"/>
    <col min="214" max="217" width="8.7109375" style="28"/>
    <col min="218" max="218" width="5.7109375" style="28" customWidth="1"/>
    <col min="219" max="16384" width="8.7109375" style="28"/>
  </cols>
  <sheetData>
    <row r="1" spans="1:14" ht="15.75" x14ac:dyDescent="0.25">
      <c r="A1" s="59" t="s">
        <v>1314</v>
      </c>
    </row>
    <row r="2" spans="1:14" x14ac:dyDescent="0.2">
      <c r="A2" s="68"/>
    </row>
    <row r="3" spans="1:14" x14ac:dyDescent="0.2">
      <c r="A3" s="69" t="s">
        <v>923</v>
      </c>
      <c r="D3" s="69" t="s">
        <v>780</v>
      </c>
      <c r="I3" s="69" t="s">
        <v>779</v>
      </c>
      <c r="N3" s="69" t="s">
        <v>778</v>
      </c>
    </row>
    <row r="4" spans="1:14" x14ac:dyDescent="0.2">
      <c r="A4" s="69"/>
    </row>
    <row r="5" spans="1:14" x14ac:dyDescent="0.2">
      <c r="A5" s="68" t="s">
        <v>727</v>
      </c>
      <c r="D5" s="28" t="s">
        <v>777</v>
      </c>
      <c r="I5" s="28" t="s">
        <v>776</v>
      </c>
      <c r="N5" s="28" t="s">
        <v>728</v>
      </c>
    </row>
    <row r="6" spans="1:14" x14ac:dyDescent="0.2">
      <c r="D6" s="28" t="s">
        <v>775</v>
      </c>
      <c r="I6" s="28" t="s">
        <v>901</v>
      </c>
    </row>
    <row r="7" spans="1:14" x14ac:dyDescent="0.2">
      <c r="D7" s="28" t="s">
        <v>774</v>
      </c>
      <c r="I7" s="28" t="s">
        <v>902</v>
      </c>
    </row>
    <row r="8" spans="1:14" x14ac:dyDescent="0.2">
      <c r="D8" s="28" t="s">
        <v>773</v>
      </c>
      <c r="I8" s="28" t="s">
        <v>924</v>
      </c>
    </row>
    <row r="9" spans="1:14" x14ac:dyDescent="0.2">
      <c r="I9" s="28" t="s">
        <v>903</v>
      </c>
    </row>
    <row r="10" spans="1:14" x14ac:dyDescent="0.2">
      <c r="I10" s="28" t="s">
        <v>904</v>
      </c>
    </row>
    <row r="11" spans="1:14" x14ac:dyDescent="0.2">
      <c r="I11" s="70" t="s">
        <v>925</v>
      </c>
    </row>
    <row r="13" spans="1:14" x14ac:dyDescent="0.2">
      <c r="A13" s="68" t="s">
        <v>772</v>
      </c>
      <c r="D13" s="28" t="s">
        <v>1177</v>
      </c>
      <c r="I13" s="28" t="s">
        <v>751</v>
      </c>
      <c r="N13" s="28" t="s">
        <v>728</v>
      </c>
    </row>
    <row r="14" spans="1:14" x14ac:dyDescent="0.2">
      <c r="D14" s="28" t="s">
        <v>771</v>
      </c>
      <c r="I14" s="28" t="s">
        <v>750</v>
      </c>
    </row>
    <row r="15" spans="1:14" x14ac:dyDescent="0.2">
      <c r="D15" s="28" t="s">
        <v>770</v>
      </c>
    </row>
    <row r="17" spans="1:14" x14ac:dyDescent="0.2">
      <c r="A17" s="68" t="s">
        <v>769</v>
      </c>
      <c r="D17" s="28" t="s">
        <v>914</v>
      </c>
      <c r="I17" s="28" t="s">
        <v>751</v>
      </c>
      <c r="N17" s="28" t="s">
        <v>728</v>
      </c>
    </row>
    <row r="18" spans="1:14" x14ac:dyDescent="0.2">
      <c r="D18" s="28" t="s">
        <v>913</v>
      </c>
      <c r="I18" s="28" t="s">
        <v>750</v>
      </c>
    </row>
    <row r="19" spans="1:14" x14ac:dyDescent="0.2">
      <c r="D19" s="28" t="s">
        <v>912</v>
      </c>
    </row>
    <row r="20" spans="1:14" x14ac:dyDescent="0.2">
      <c r="D20" s="28" t="s">
        <v>926</v>
      </c>
    </row>
    <row r="21" spans="1:14" x14ac:dyDescent="0.2">
      <c r="D21" s="28" t="s">
        <v>927</v>
      </c>
    </row>
    <row r="22" spans="1:14" x14ac:dyDescent="0.2">
      <c r="D22" s="28" t="s">
        <v>928</v>
      </c>
    </row>
    <row r="24" spans="1:14" x14ac:dyDescent="0.2">
      <c r="A24" s="68" t="s">
        <v>929</v>
      </c>
      <c r="D24" s="28" t="s">
        <v>907</v>
      </c>
      <c r="I24" s="28" t="s">
        <v>768</v>
      </c>
      <c r="N24" s="28" t="s">
        <v>728</v>
      </c>
    </row>
    <row r="25" spans="1:14" x14ac:dyDescent="0.2">
      <c r="D25" s="28" t="s">
        <v>908</v>
      </c>
      <c r="I25" s="28" t="s">
        <v>767</v>
      </c>
    </row>
    <row r="26" spans="1:14" x14ac:dyDescent="0.2">
      <c r="D26" s="28" t="s">
        <v>909</v>
      </c>
      <c r="I26" s="28" t="s">
        <v>905</v>
      </c>
    </row>
    <row r="27" spans="1:14" x14ac:dyDescent="0.2">
      <c r="D27" s="28" t="s">
        <v>910</v>
      </c>
      <c r="I27" s="28" t="s">
        <v>766</v>
      </c>
    </row>
    <row r="28" spans="1:14" x14ac:dyDescent="0.2">
      <c r="D28" s="28" t="s">
        <v>911</v>
      </c>
      <c r="I28" s="28" t="s">
        <v>765</v>
      </c>
    </row>
    <row r="29" spans="1:14" x14ac:dyDescent="0.2">
      <c r="D29" s="28" t="s">
        <v>930</v>
      </c>
      <c r="I29" s="28" t="s">
        <v>764</v>
      </c>
    </row>
    <row r="30" spans="1:14" x14ac:dyDescent="0.2">
      <c r="D30" s="28" t="s">
        <v>931</v>
      </c>
      <c r="I30" s="28" t="s">
        <v>763</v>
      </c>
    </row>
    <row r="31" spans="1:14" x14ac:dyDescent="0.2">
      <c r="D31" s="28" t="s">
        <v>932</v>
      </c>
      <c r="I31" s="28" t="s">
        <v>933</v>
      </c>
    </row>
    <row r="32" spans="1:14" x14ac:dyDescent="0.2">
      <c r="D32" s="28" t="s">
        <v>906</v>
      </c>
    </row>
    <row r="34" spans="1:14" x14ac:dyDescent="0.2">
      <c r="A34" s="68" t="s">
        <v>808</v>
      </c>
      <c r="D34" s="70" t="s">
        <v>915</v>
      </c>
      <c r="I34" s="28" t="s">
        <v>762</v>
      </c>
      <c r="N34" s="28" t="s">
        <v>728</v>
      </c>
    </row>
    <row r="35" spans="1:14" x14ac:dyDescent="0.2">
      <c r="D35" s="28" t="s">
        <v>761</v>
      </c>
      <c r="I35" s="28" t="s">
        <v>760</v>
      </c>
    </row>
    <row r="36" spans="1:14" x14ac:dyDescent="0.2">
      <c r="D36" s="28" t="s">
        <v>916</v>
      </c>
      <c r="I36" s="28" t="s">
        <v>759</v>
      </c>
    </row>
    <row r="37" spans="1:14" x14ac:dyDescent="0.2">
      <c r="D37" s="28" t="s">
        <v>917</v>
      </c>
      <c r="I37" s="28" t="s">
        <v>758</v>
      </c>
    </row>
    <row r="38" spans="1:14" x14ac:dyDescent="0.2">
      <c r="D38" s="28" t="s">
        <v>918</v>
      </c>
      <c r="I38" s="28" t="s">
        <v>757</v>
      </c>
    </row>
    <row r="39" spans="1:14" x14ac:dyDescent="0.2">
      <c r="D39" s="28" t="s">
        <v>919</v>
      </c>
      <c r="N39" s="68"/>
    </row>
    <row r="40" spans="1:14" x14ac:dyDescent="0.2">
      <c r="D40" s="28" t="s">
        <v>920</v>
      </c>
    </row>
    <row r="41" spans="1:14" x14ac:dyDescent="0.2">
      <c r="D41" s="28" t="s">
        <v>921</v>
      </c>
    </row>
    <row r="42" spans="1:14" x14ac:dyDescent="0.2">
      <c r="D42" s="28" t="s">
        <v>922</v>
      </c>
    </row>
    <row r="43" spans="1:14" x14ac:dyDescent="0.2">
      <c r="D43" s="28" t="s">
        <v>934</v>
      </c>
    </row>
    <row r="44" spans="1:14" x14ac:dyDescent="0.2">
      <c r="D44" s="28" t="s">
        <v>935</v>
      </c>
    </row>
    <row r="45" spans="1:14" x14ac:dyDescent="0.2">
      <c r="D45" s="28" t="s">
        <v>936</v>
      </c>
    </row>
    <row r="46" spans="1:14" x14ac:dyDescent="0.2">
      <c r="D46" s="28" t="s">
        <v>937</v>
      </c>
    </row>
    <row r="47" spans="1:14" x14ac:dyDescent="0.2">
      <c r="D47" s="28" t="s">
        <v>938</v>
      </c>
    </row>
    <row r="49" spans="1:14" x14ac:dyDescent="0.2">
      <c r="A49" s="68" t="s">
        <v>726</v>
      </c>
      <c r="D49" s="28" t="s">
        <v>756</v>
      </c>
      <c r="I49" s="28" t="s">
        <v>736</v>
      </c>
      <c r="N49" s="28" t="s">
        <v>728</v>
      </c>
    </row>
    <row r="50" spans="1:14" x14ac:dyDescent="0.2">
      <c r="D50" s="28" t="s">
        <v>755</v>
      </c>
      <c r="I50" s="28" t="s">
        <v>754</v>
      </c>
    </row>
    <row r="51" spans="1:14" x14ac:dyDescent="0.2">
      <c r="D51" s="28" t="s">
        <v>939</v>
      </c>
      <c r="I51" s="28" t="s">
        <v>940</v>
      </c>
    </row>
    <row r="52" spans="1:14" x14ac:dyDescent="0.2">
      <c r="D52" s="28" t="s">
        <v>941</v>
      </c>
      <c r="I52" s="28" t="s">
        <v>942</v>
      </c>
    </row>
    <row r="53" spans="1:14" x14ac:dyDescent="0.2">
      <c r="D53" s="28" t="s">
        <v>753</v>
      </c>
      <c r="I53" s="28" t="s">
        <v>943</v>
      </c>
    </row>
    <row r="54" spans="1:14" x14ac:dyDescent="0.2">
      <c r="D54" s="28" t="s">
        <v>752</v>
      </c>
      <c r="I54" s="28" t="s">
        <v>944</v>
      </c>
    </row>
    <row r="55" spans="1:14" x14ac:dyDescent="0.2">
      <c r="D55" s="28" t="s">
        <v>945</v>
      </c>
      <c r="I55" s="28" t="s">
        <v>946</v>
      </c>
    </row>
    <row r="56" spans="1:14" x14ac:dyDescent="0.2">
      <c r="D56" s="28" t="s">
        <v>1014</v>
      </c>
    </row>
    <row r="57" spans="1:14" x14ac:dyDescent="0.2">
      <c r="D57" s="28" t="s">
        <v>1015</v>
      </c>
    </row>
    <row r="58" spans="1:14" x14ac:dyDescent="0.2">
      <c r="D58" s="28" t="s">
        <v>1016</v>
      </c>
    </row>
    <row r="59" spans="1:14" x14ac:dyDescent="0.2">
      <c r="D59" s="28" t="s">
        <v>1017</v>
      </c>
    </row>
    <row r="61" spans="1:14" x14ac:dyDescent="0.2">
      <c r="A61" s="68" t="s">
        <v>947</v>
      </c>
      <c r="D61" s="28" t="s">
        <v>948</v>
      </c>
      <c r="I61" s="28" t="s">
        <v>1069</v>
      </c>
      <c r="N61" s="28" t="s">
        <v>843</v>
      </c>
    </row>
    <row r="62" spans="1:14" x14ac:dyDescent="0.2">
      <c r="D62" s="28" t="s">
        <v>949</v>
      </c>
      <c r="I62" s="28" t="s">
        <v>950</v>
      </c>
      <c r="N62" s="28" t="s">
        <v>844</v>
      </c>
    </row>
    <row r="63" spans="1:14" x14ac:dyDescent="0.2">
      <c r="D63" s="28" t="s">
        <v>951</v>
      </c>
      <c r="I63" s="28" t="s">
        <v>1071</v>
      </c>
      <c r="N63" s="68" t="s">
        <v>952</v>
      </c>
    </row>
    <row r="64" spans="1:14" x14ac:dyDescent="0.2">
      <c r="D64" s="28" t="s">
        <v>953</v>
      </c>
      <c r="I64" s="28" t="s">
        <v>954</v>
      </c>
      <c r="N64" s="28" t="s">
        <v>955</v>
      </c>
    </row>
    <row r="65" spans="1:14" x14ac:dyDescent="0.2">
      <c r="D65" s="28" t="s">
        <v>956</v>
      </c>
      <c r="I65" s="28" t="s">
        <v>957</v>
      </c>
      <c r="N65" s="28" t="s">
        <v>958</v>
      </c>
    </row>
    <row r="66" spans="1:14" ht="15" x14ac:dyDescent="0.25">
      <c r="D66" s="111" t="s">
        <v>841</v>
      </c>
      <c r="F66" s="28" t="s">
        <v>842</v>
      </c>
      <c r="I66" s="28" t="s">
        <v>959</v>
      </c>
      <c r="N66" s="28" t="s">
        <v>960</v>
      </c>
    </row>
    <row r="67" spans="1:14" x14ac:dyDescent="0.2">
      <c r="D67" s="28" t="s">
        <v>961</v>
      </c>
      <c r="I67" s="28" t="s">
        <v>962</v>
      </c>
      <c r="N67" s="28" t="s">
        <v>963</v>
      </c>
    </row>
    <row r="68" spans="1:14" x14ac:dyDescent="0.2">
      <c r="D68" s="28" t="s">
        <v>964</v>
      </c>
      <c r="I68" s="28" t="s">
        <v>965</v>
      </c>
      <c r="N68" s="28" t="s">
        <v>966</v>
      </c>
    </row>
    <row r="69" spans="1:14" x14ac:dyDescent="0.2">
      <c r="D69" s="28" t="s">
        <v>967</v>
      </c>
      <c r="I69" s="28" t="s">
        <v>968</v>
      </c>
      <c r="N69" s="28" t="s">
        <v>969</v>
      </c>
    </row>
    <row r="70" spans="1:14" x14ac:dyDescent="0.2">
      <c r="I70" s="28" t="s">
        <v>970</v>
      </c>
      <c r="N70" s="28" t="s">
        <v>971</v>
      </c>
    </row>
    <row r="71" spans="1:14" x14ac:dyDescent="0.2">
      <c r="N71" s="28" t="s">
        <v>972</v>
      </c>
    </row>
    <row r="72" spans="1:14" x14ac:dyDescent="0.2">
      <c r="N72" s="28" t="s">
        <v>973</v>
      </c>
    </row>
    <row r="73" spans="1:14" x14ac:dyDescent="0.2">
      <c r="N73" s="28" t="s">
        <v>974</v>
      </c>
    </row>
    <row r="74" spans="1:14" x14ac:dyDescent="0.2">
      <c r="N74" s="28" t="s">
        <v>975</v>
      </c>
    </row>
    <row r="75" spans="1:14" x14ac:dyDescent="0.2">
      <c r="N75" s="28" t="s">
        <v>976</v>
      </c>
    </row>
    <row r="76" spans="1:14" x14ac:dyDescent="0.2">
      <c r="N76" s="28" t="s">
        <v>977</v>
      </c>
    </row>
    <row r="78" spans="1:14" x14ac:dyDescent="0.2">
      <c r="A78" s="68" t="s">
        <v>978</v>
      </c>
      <c r="D78" s="28" t="s">
        <v>979</v>
      </c>
      <c r="I78" s="28" t="s">
        <v>1070</v>
      </c>
      <c r="N78" s="28" t="s">
        <v>843</v>
      </c>
    </row>
    <row r="79" spans="1:14" x14ac:dyDescent="0.2">
      <c r="D79" s="28" t="s">
        <v>980</v>
      </c>
      <c r="I79" s="28" t="s">
        <v>981</v>
      </c>
      <c r="N79" s="28" t="s">
        <v>844</v>
      </c>
    </row>
    <row r="80" spans="1:14" x14ac:dyDescent="0.2">
      <c r="D80" s="28" t="s">
        <v>982</v>
      </c>
      <c r="I80" s="28" t="s">
        <v>1072</v>
      </c>
      <c r="N80" s="68" t="s">
        <v>952</v>
      </c>
    </row>
    <row r="81" spans="1:14" x14ac:dyDescent="0.2">
      <c r="D81" s="28" t="s">
        <v>983</v>
      </c>
      <c r="I81" s="28" t="s">
        <v>954</v>
      </c>
      <c r="N81" s="28" t="s">
        <v>955</v>
      </c>
    </row>
    <row r="82" spans="1:14" x14ac:dyDescent="0.2">
      <c r="D82" s="28" t="s">
        <v>984</v>
      </c>
      <c r="I82" s="28" t="s">
        <v>985</v>
      </c>
      <c r="N82" s="28" t="s">
        <v>958</v>
      </c>
    </row>
    <row r="83" spans="1:14" x14ac:dyDescent="0.2">
      <c r="D83" s="28" t="s">
        <v>986</v>
      </c>
      <c r="I83" s="110" t="s">
        <v>1183</v>
      </c>
      <c r="N83" s="28" t="s">
        <v>960</v>
      </c>
    </row>
    <row r="84" spans="1:14" x14ac:dyDescent="0.2">
      <c r="D84" s="28" t="s">
        <v>987</v>
      </c>
      <c r="I84" s="28" t="s">
        <v>988</v>
      </c>
      <c r="N84" s="28" t="s">
        <v>963</v>
      </c>
    </row>
    <row r="85" spans="1:14" x14ac:dyDescent="0.2">
      <c r="D85" s="28" t="s">
        <v>989</v>
      </c>
      <c r="I85" s="28" t="s">
        <v>990</v>
      </c>
    </row>
    <row r="86" spans="1:14" x14ac:dyDescent="0.2">
      <c r="D86" s="72" t="s">
        <v>991</v>
      </c>
      <c r="I86" s="28" t="s">
        <v>992</v>
      </c>
    </row>
    <row r="87" spans="1:14" x14ac:dyDescent="0.2">
      <c r="D87" s="72" t="s">
        <v>993</v>
      </c>
      <c r="I87" s="68" t="s">
        <v>994</v>
      </c>
    </row>
    <row r="88" spans="1:14" x14ac:dyDescent="0.2">
      <c r="I88" s="28" t="s">
        <v>995</v>
      </c>
    </row>
    <row r="89" spans="1:14" x14ac:dyDescent="0.2">
      <c r="I89" s="28" t="s">
        <v>996</v>
      </c>
    </row>
    <row r="91" spans="1:14" x14ac:dyDescent="0.2">
      <c r="A91" s="68" t="s">
        <v>997</v>
      </c>
      <c r="D91" s="28" t="s">
        <v>998</v>
      </c>
      <c r="I91" s="28" t="s">
        <v>751</v>
      </c>
      <c r="N91" s="28" t="s">
        <v>728</v>
      </c>
    </row>
    <row r="92" spans="1:14" x14ac:dyDescent="0.2">
      <c r="D92" s="28" t="s">
        <v>999</v>
      </c>
      <c r="I92" s="28" t="s">
        <v>750</v>
      </c>
    </row>
    <row r="93" spans="1:14" x14ac:dyDescent="0.2">
      <c r="D93" s="28" t="s">
        <v>1000</v>
      </c>
    </row>
    <row r="94" spans="1:14" x14ac:dyDescent="0.2">
      <c r="D94" s="28" t="s">
        <v>1001</v>
      </c>
    </row>
    <row r="95" spans="1:14" x14ac:dyDescent="0.2">
      <c r="D95" s="28" t="s">
        <v>1002</v>
      </c>
    </row>
    <row r="96" spans="1:14" x14ac:dyDescent="0.2">
      <c r="D96" s="28" t="s">
        <v>1003</v>
      </c>
    </row>
    <row r="97" spans="1:14" x14ac:dyDescent="0.2">
      <c r="D97" s="28" t="s">
        <v>1004</v>
      </c>
    </row>
    <row r="98" spans="1:14" x14ac:dyDescent="0.2">
      <c r="D98" s="28" t="s">
        <v>1005</v>
      </c>
    </row>
    <row r="100" spans="1:14" x14ac:dyDescent="0.2">
      <c r="A100" s="68" t="s">
        <v>1006</v>
      </c>
      <c r="D100" s="28" t="s">
        <v>1007</v>
      </c>
      <c r="I100" s="28" t="s">
        <v>749</v>
      </c>
      <c r="N100" s="28" t="s">
        <v>728</v>
      </c>
    </row>
    <row r="101" spans="1:14" x14ac:dyDescent="0.2">
      <c r="D101" s="28" t="s">
        <v>1008</v>
      </c>
      <c r="I101" s="28" t="s">
        <v>748</v>
      </c>
    </row>
    <row r="102" spans="1:14" x14ac:dyDescent="0.2">
      <c r="D102" s="28" t="s">
        <v>1009</v>
      </c>
      <c r="I102" s="28" t="s">
        <v>747</v>
      </c>
    </row>
    <row r="103" spans="1:14" x14ac:dyDescent="0.2">
      <c r="D103" s="28" t="s">
        <v>1010</v>
      </c>
      <c r="I103" s="28" t="s">
        <v>746</v>
      </c>
    </row>
    <row r="104" spans="1:14" x14ac:dyDescent="0.2">
      <c r="D104" s="28" t="s">
        <v>1011</v>
      </c>
      <c r="I104" s="28" t="s">
        <v>745</v>
      </c>
    </row>
    <row r="105" spans="1:14" x14ac:dyDescent="0.2">
      <c r="D105" s="28" t="s">
        <v>1012</v>
      </c>
    </row>
    <row r="106" spans="1:14" x14ac:dyDescent="0.2">
      <c r="D106" s="28" t="s">
        <v>1013</v>
      </c>
    </row>
    <row r="108" spans="1:14" x14ac:dyDescent="0.2">
      <c r="A108" s="68" t="s">
        <v>1018</v>
      </c>
      <c r="D108" s="28" t="s">
        <v>1019</v>
      </c>
      <c r="I108" s="28" t="s">
        <v>744</v>
      </c>
      <c r="N108" s="28" t="s">
        <v>728</v>
      </c>
    </row>
    <row r="109" spans="1:14" x14ac:dyDescent="0.2">
      <c r="D109" s="28" t="s">
        <v>1020</v>
      </c>
      <c r="I109" s="28" t="s">
        <v>743</v>
      </c>
    </row>
    <row r="110" spans="1:14" x14ac:dyDescent="0.2">
      <c r="D110" s="28" t="s">
        <v>1021</v>
      </c>
      <c r="I110" s="28" t="s">
        <v>742</v>
      </c>
    </row>
    <row r="111" spans="1:14" x14ac:dyDescent="0.2">
      <c r="D111" s="28" t="s">
        <v>1022</v>
      </c>
      <c r="I111" s="28" t="s">
        <v>740</v>
      </c>
    </row>
    <row r="112" spans="1:14" x14ac:dyDescent="0.2">
      <c r="D112" s="28" t="s">
        <v>1023</v>
      </c>
      <c r="I112" s="28" t="s">
        <v>739</v>
      </c>
    </row>
    <row r="113" spans="1:14" x14ac:dyDescent="0.2">
      <c r="D113" s="28" t="s">
        <v>1024</v>
      </c>
      <c r="I113" s="28" t="s">
        <v>738</v>
      </c>
    </row>
    <row r="114" spans="1:14" x14ac:dyDescent="0.2">
      <c r="D114" s="28" t="s">
        <v>741</v>
      </c>
    </row>
    <row r="115" spans="1:14" x14ac:dyDescent="0.2">
      <c r="D115" s="28" t="s">
        <v>1181</v>
      </c>
    </row>
    <row r="116" spans="1:14" x14ac:dyDescent="0.2">
      <c r="D116" s="28" t="s">
        <v>1025</v>
      </c>
    </row>
    <row r="117" spans="1:14" x14ac:dyDescent="0.2">
      <c r="D117" s="28" t="s">
        <v>737</v>
      </c>
    </row>
    <row r="119" spans="1:14" x14ac:dyDescent="0.2">
      <c r="A119" s="68" t="s">
        <v>725</v>
      </c>
      <c r="D119" s="28" t="s">
        <v>735</v>
      </c>
      <c r="I119" s="28" t="s">
        <v>734</v>
      </c>
      <c r="N119" s="28" t="s">
        <v>728</v>
      </c>
    </row>
    <row r="120" spans="1:14" x14ac:dyDescent="0.2">
      <c r="D120" s="28" t="s">
        <v>733</v>
      </c>
      <c r="I120" s="28" t="s">
        <v>1026</v>
      </c>
    </row>
    <row r="121" spans="1:14" x14ac:dyDescent="0.2">
      <c r="D121" s="28" t="s">
        <v>1027</v>
      </c>
      <c r="I121" s="28" t="s">
        <v>732</v>
      </c>
    </row>
    <row r="122" spans="1:14" x14ac:dyDescent="0.2">
      <c r="D122" s="28" t="s">
        <v>1028</v>
      </c>
      <c r="I122" s="28" t="s">
        <v>731</v>
      </c>
    </row>
    <row r="123" spans="1:14" x14ac:dyDescent="0.2">
      <c r="D123" s="28" t="s">
        <v>1029</v>
      </c>
      <c r="I123" s="28" t="s">
        <v>1030</v>
      </c>
    </row>
    <row r="124" spans="1:14" x14ac:dyDescent="0.2">
      <c r="D124" s="28" t="s">
        <v>1031</v>
      </c>
      <c r="I124" s="28" t="s">
        <v>1032</v>
      </c>
    </row>
    <row r="125" spans="1:14" x14ac:dyDescent="0.2">
      <c r="D125" s="28" t="s">
        <v>730</v>
      </c>
      <c r="I125" s="28" t="s">
        <v>1033</v>
      </c>
    </row>
    <row r="126" spans="1:14" x14ac:dyDescent="0.2">
      <c r="D126" s="28" t="s">
        <v>1034</v>
      </c>
      <c r="I126" s="28" t="s">
        <v>1035</v>
      </c>
    </row>
    <row r="127" spans="1:14" x14ac:dyDescent="0.2">
      <c r="D127" s="28" t="s">
        <v>1036</v>
      </c>
      <c r="I127" s="28" t="s">
        <v>729</v>
      </c>
    </row>
    <row r="128" spans="1:14" x14ac:dyDescent="0.2">
      <c r="D128" s="28" t="s">
        <v>1037</v>
      </c>
      <c r="I128" s="28" t="s">
        <v>1038</v>
      </c>
    </row>
    <row r="129" spans="1:14" x14ac:dyDescent="0.2">
      <c r="D129" s="28" t="s">
        <v>1039</v>
      </c>
      <c r="I129" s="28" t="s">
        <v>1040</v>
      </c>
    </row>
    <row r="130" spans="1:14" x14ac:dyDescent="0.2">
      <c r="D130" s="28" t="s">
        <v>1041</v>
      </c>
      <c r="I130" s="28" t="s">
        <v>1042</v>
      </c>
    </row>
    <row r="131" spans="1:14" x14ac:dyDescent="0.2">
      <c r="D131" s="28" t="s">
        <v>1043</v>
      </c>
      <c r="I131" s="28" t="s">
        <v>1044</v>
      </c>
    </row>
    <row r="132" spans="1:14" x14ac:dyDescent="0.2">
      <c r="D132" s="28" t="s">
        <v>1045</v>
      </c>
      <c r="I132" s="28" t="s">
        <v>1046</v>
      </c>
    </row>
    <row r="133" spans="1:14" x14ac:dyDescent="0.2">
      <c r="D133" s="28" t="s">
        <v>1047</v>
      </c>
      <c r="I133" s="28" t="s">
        <v>1048</v>
      </c>
    </row>
    <row r="134" spans="1:14" x14ac:dyDescent="0.2">
      <c r="D134" s="68" t="s">
        <v>1049</v>
      </c>
      <c r="I134" s="28" t="s">
        <v>1050</v>
      </c>
    </row>
    <row r="136" spans="1:14" x14ac:dyDescent="0.2">
      <c r="A136" s="28" t="s">
        <v>1051</v>
      </c>
      <c r="D136" s="28" t="s">
        <v>1052</v>
      </c>
      <c r="I136" s="28" t="s">
        <v>728</v>
      </c>
      <c r="N136" s="68" t="s">
        <v>727</v>
      </c>
    </row>
    <row r="137" spans="1:14" x14ac:dyDescent="0.2">
      <c r="A137" s="28" t="s">
        <v>1053</v>
      </c>
      <c r="D137" s="28" t="s">
        <v>1054</v>
      </c>
      <c r="N137" s="68" t="s">
        <v>929</v>
      </c>
    </row>
    <row r="138" spans="1:14" x14ac:dyDescent="0.2">
      <c r="A138" s="28" t="s">
        <v>1055</v>
      </c>
      <c r="D138" s="28" t="s">
        <v>1056</v>
      </c>
      <c r="N138" s="68" t="s">
        <v>808</v>
      </c>
    </row>
    <row r="139" spans="1:14" x14ac:dyDescent="0.2">
      <c r="A139" s="28" t="s">
        <v>1057</v>
      </c>
      <c r="D139" s="28" t="s">
        <v>1058</v>
      </c>
      <c r="N139" s="68" t="s">
        <v>726</v>
      </c>
    </row>
    <row r="140" spans="1:14" x14ac:dyDescent="0.2">
      <c r="A140" s="28" t="s">
        <v>1059</v>
      </c>
      <c r="D140" s="28" t="s">
        <v>1060</v>
      </c>
      <c r="N140" s="28" t="s">
        <v>1061</v>
      </c>
    </row>
    <row r="141" spans="1:14" x14ac:dyDescent="0.2">
      <c r="A141" s="28" t="s">
        <v>1062</v>
      </c>
      <c r="N141" s="28" t="s">
        <v>1063</v>
      </c>
    </row>
    <row r="142" spans="1:14" x14ac:dyDescent="0.2">
      <c r="A142" s="70" t="s">
        <v>1068</v>
      </c>
      <c r="N142" s="68" t="s">
        <v>1006</v>
      </c>
    </row>
    <row r="143" spans="1:14" x14ac:dyDescent="0.2">
      <c r="A143" s="28" t="s">
        <v>1064</v>
      </c>
      <c r="N143" s="68" t="s">
        <v>1018</v>
      </c>
    </row>
    <row r="144" spans="1:14" x14ac:dyDescent="0.2">
      <c r="A144" s="73" t="s">
        <v>725</v>
      </c>
      <c r="N144" s="68" t="s">
        <v>725</v>
      </c>
    </row>
    <row r="145" spans="1:14" x14ac:dyDescent="0.2">
      <c r="A145" s="70" t="s">
        <v>1065</v>
      </c>
    </row>
    <row r="146" spans="1:14" x14ac:dyDescent="0.2">
      <c r="A146" s="28" t="s">
        <v>1066</v>
      </c>
      <c r="N146" s="68"/>
    </row>
    <row r="147" spans="1:14" x14ac:dyDescent="0.2">
      <c r="A147" s="28" t="s">
        <v>1067</v>
      </c>
      <c r="N147" s="68"/>
    </row>
    <row r="148" spans="1:14" x14ac:dyDescent="0.2">
      <c r="N148" s="68"/>
    </row>
    <row r="149" spans="1:14" x14ac:dyDescent="0.2">
      <c r="N149" s="68"/>
    </row>
    <row r="150" spans="1:14" x14ac:dyDescent="0.2">
      <c r="N150" s="68"/>
    </row>
    <row r="151" spans="1:14" x14ac:dyDescent="0.2">
      <c r="N151" s="68"/>
    </row>
  </sheetData>
  <hyperlinks>
    <hyperlink ref="D66" r:id="rId1"/>
  </hyperlinks>
  <pageMargins left="0.70866141732283472" right="0.70866141732283472" top="0.74803149606299213" bottom="0.74803149606299213" header="0.31496062992125984" footer="0.31496062992125984"/>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workbookViewId="0">
      <selection activeCell="A4" sqref="A4"/>
    </sheetView>
  </sheetViews>
  <sheetFormatPr defaultColWidth="8.7109375" defaultRowHeight="12.75" x14ac:dyDescent="0.2"/>
  <cols>
    <col min="1" max="2" width="8.7109375" style="28"/>
    <col min="3" max="3" width="15.140625" style="28" customWidth="1"/>
    <col min="4" max="16384" width="8.7109375" style="28"/>
  </cols>
  <sheetData>
    <row r="1" spans="1:12" ht="15.75" x14ac:dyDescent="0.25">
      <c r="A1" s="59" t="s">
        <v>1299</v>
      </c>
    </row>
    <row r="2" spans="1:12" x14ac:dyDescent="0.2">
      <c r="A2" s="68" t="s">
        <v>1073</v>
      </c>
    </row>
    <row r="3" spans="1:12" x14ac:dyDescent="0.2">
      <c r="A3" s="68" t="s">
        <v>1074</v>
      </c>
    </row>
    <row r="5" spans="1:12" x14ac:dyDescent="0.2">
      <c r="A5" s="69" t="s">
        <v>811</v>
      </c>
      <c r="E5" s="28" t="s">
        <v>1300</v>
      </c>
    </row>
    <row r="6" spans="1:12" x14ac:dyDescent="0.2">
      <c r="A6" s="69"/>
    </row>
    <row r="7" spans="1:12" x14ac:dyDescent="0.2">
      <c r="A7" s="28" t="s">
        <v>1075</v>
      </c>
      <c r="C7" s="28" t="s">
        <v>785</v>
      </c>
      <c r="E7" s="28" t="s">
        <v>810</v>
      </c>
      <c r="J7" s="28" t="s">
        <v>1076</v>
      </c>
    </row>
    <row r="8" spans="1:12" x14ac:dyDescent="0.2">
      <c r="C8" s="28" t="s">
        <v>781</v>
      </c>
      <c r="J8" s="28" t="s">
        <v>1301</v>
      </c>
    </row>
    <row r="10" spans="1:12" x14ac:dyDescent="0.2">
      <c r="A10" s="28" t="s">
        <v>1077</v>
      </c>
      <c r="C10" s="28" t="s">
        <v>785</v>
      </c>
      <c r="E10" s="28" t="s">
        <v>784</v>
      </c>
      <c r="J10" s="28" t="s">
        <v>783</v>
      </c>
    </row>
    <row r="11" spans="1:12" x14ac:dyDescent="0.2">
      <c r="C11" s="28" t="s">
        <v>781</v>
      </c>
      <c r="J11" s="28" t="s">
        <v>1301</v>
      </c>
    </row>
    <row r="13" spans="1:12" ht="15" x14ac:dyDescent="0.25">
      <c r="A13" s="28" t="s">
        <v>1078</v>
      </c>
      <c r="C13" s="28" t="s">
        <v>785</v>
      </c>
      <c r="E13" s="28" t="s">
        <v>1079</v>
      </c>
      <c r="J13" s="28" t="s">
        <v>1080</v>
      </c>
      <c r="K13" s="71" t="s">
        <v>809</v>
      </c>
    </row>
    <row r="14" spans="1:12" ht="15" x14ac:dyDescent="0.25">
      <c r="A14" s="28" t="s">
        <v>806</v>
      </c>
      <c r="C14" s="28" t="s">
        <v>781</v>
      </c>
      <c r="E14" s="28" t="s">
        <v>1081</v>
      </c>
      <c r="J14" s="28" t="s">
        <v>1301</v>
      </c>
      <c r="L14" s="71"/>
    </row>
    <row r="15" spans="1:12" x14ac:dyDescent="0.2">
      <c r="A15" s="28" t="s">
        <v>805</v>
      </c>
      <c r="C15" s="28" t="s">
        <v>789</v>
      </c>
      <c r="E15" s="28" t="s">
        <v>1082</v>
      </c>
      <c r="J15" s="28" t="s">
        <v>897</v>
      </c>
    </row>
    <row r="17" spans="1:14" x14ac:dyDescent="0.2">
      <c r="A17" s="28" t="s">
        <v>808</v>
      </c>
      <c r="C17" s="28" t="s">
        <v>785</v>
      </c>
      <c r="E17" s="28" t="s">
        <v>1079</v>
      </c>
      <c r="J17" s="28" t="s">
        <v>807</v>
      </c>
    </row>
    <row r="18" spans="1:14" x14ac:dyDescent="0.2">
      <c r="A18" s="28" t="s">
        <v>806</v>
      </c>
      <c r="C18" s="28" t="s">
        <v>781</v>
      </c>
      <c r="E18" s="28" t="s">
        <v>1083</v>
      </c>
      <c r="J18" s="28" t="s">
        <v>1301</v>
      </c>
    </row>
    <row r="19" spans="1:14" x14ac:dyDescent="0.2">
      <c r="A19" s="28" t="s">
        <v>805</v>
      </c>
      <c r="C19" s="28" t="s">
        <v>789</v>
      </c>
      <c r="E19" s="28" t="s">
        <v>804</v>
      </c>
      <c r="J19" s="28" t="s">
        <v>1303</v>
      </c>
    </row>
    <row r="21" spans="1:14" x14ac:dyDescent="0.2">
      <c r="A21" s="28" t="s">
        <v>803</v>
      </c>
      <c r="C21" s="28" t="s">
        <v>785</v>
      </c>
      <c r="E21" s="28" t="s">
        <v>784</v>
      </c>
      <c r="J21" s="28" t="s">
        <v>783</v>
      </c>
    </row>
    <row r="22" spans="1:14" x14ac:dyDescent="0.2">
      <c r="A22" s="28" t="s">
        <v>802</v>
      </c>
      <c r="C22" s="28" t="s">
        <v>781</v>
      </c>
      <c r="E22" s="28" t="s">
        <v>801</v>
      </c>
      <c r="J22" s="28" t="s">
        <v>1301</v>
      </c>
    </row>
    <row r="23" spans="1:14" x14ac:dyDescent="0.2">
      <c r="E23" s="28" t="s">
        <v>1084</v>
      </c>
    </row>
    <row r="24" spans="1:14" x14ac:dyDescent="0.2">
      <c r="E24" s="28" t="s">
        <v>1085</v>
      </c>
    </row>
    <row r="26" spans="1:14" x14ac:dyDescent="0.2">
      <c r="A26" s="28" t="s">
        <v>800</v>
      </c>
      <c r="C26" s="28" t="s">
        <v>785</v>
      </c>
      <c r="E26" s="28" t="s">
        <v>784</v>
      </c>
      <c r="J26" s="28" t="s">
        <v>783</v>
      </c>
    </row>
    <row r="27" spans="1:14" x14ac:dyDescent="0.2">
      <c r="A27" s="28" t="s">
        <v>791</v>
      </c>
      <c r="C27" s="28" t="s">
        <v>781</v>
      </c>
      <c r="E27" s="28" t="s">
        <v>1086</v>
      </c>
      <c r="J27" s="28" t="s">
        <v>1301</v>
      </c>
    </row>
    <row r="28" spans="1:14" ht="15" x14ac:dyDescent="0.25">
      <c r="A28" s="28" t="s">
        <v>799</v>
      </c>
      <c r="C28" s="28" t="s">
        <v>789</v>
      </c>
      <c r="E28" s="28" t="s">
        <v>798</v>
      </c>
      <c r="J28" s="28" t="s">
        <v>1080</v>
      </c>
      <c r="K28" s="111" t="s">
        <v>797</v>
      </c>
      <c r="N28" s="28" t="s">
        <v>1301</v>
      </c>
    </row>
    <row r="30" spans="1:14" x14ac:dyDescent="0.2">
      <c r="A30" s="28" t="s">
        <v>1087</v>
      </c>
      <c r="C30" s="28" t="s">
        <v>785</v>
      </c>
      <c r="E30" s="28" t="s">
        <v>784</v>
      </c>
      <c r="J30" s="28" t="s">
        <v>783</v>
      </c>
    </row>
    <row r="31" spans="1:14" x14ac:dyDescent="0.2">
      <c r="A31" s="28" t="s">
        <v>1088</v>
      </c>
      <c r="C31" s="28" t="s">
        <v>781</v>
      </c>
      <c r="E31" s="28" t="s">
        <v>1089</v>
      </c>
      <c r="J31" s="28" t="s">
        <v>1301</v>
      </c>
    </row>
    <row r="32" spans="1:14" x14ac:dyDescent="0.2">
      <c r="A32" s="28" t="s">
        <v>1090</v>
      </c>
      <c r="C32" s="28" t="s">
        <v>789</v>
      </c>
      <c r="E32" s="28" t="s">
        <v>796</v>
      </c>
      <c r="J32" s="28" t="s">
        <v>1302</v>
      </c>
    </row>
    <row r="34" spans="1:17" x14ac:dyDescent="0.2">
      <c r="A34" s="28" t="s">
        <v>350</v>
      </c>
      <c r="C34" s="28" t="s">
        <v>785</v>
      </c>
      <c r="E34" s="28" t="s">
        <v>784</v>
      </c>
      <c r="J34" s="28" t="s">
        <v>783</v>
      </c>
    </row>
    <row r="35" spans="1:17" x14ac:dyDescent="0.2">
      <c r="A35" s="28" t="s">
        <v>1091</v>
      </c>
      <c r="C35" s="28" t="s">
        <v>781</v>
      </c>
      <c r="E35" s="28" t="s">
        <v>1092</v>
      </c>
      <c r="J35" s="28" t="s">
        <v>1301</v>
      </c>
      <c r="K35" s="107"/>
      <c r="L35" s="107"/>
      <c r="M35" s="107"/>
      <c r="N35" s="107"/>
      <c r="O35" s="107"/>
      <c r="P35" s="107"/>
    </row>
    <row r="36" spans="1:17" x14ac:dyDescent="0.2">
      <c r="C36" s="28" t="s">
        <v>789</v>
      </c>
      <c r="E36" s="28" t="s">
        <v>1093</v>
      </c>
      <c r="J36" s="28" t="s">
        <v>1301</v>
      </c>
      <c r="K36" s="107"/>
      <c r="L36" s="107"/>
      <c r="M36" s="107"/>
      <c r="N36" s="107"/>
      <c r="O36" s="107"/>
      <c r="P36" s="107"/>
      <c r="Q36" s="107"/>
    </row>
    <row r="38" spans="1:17" x14ac:dyDescent="0.2">
      <c r="A38" s="28" t="s">
        <v>795</v>
      </c>
      <c r="C38" s="28" t="s">
        <v>785</v>
      </c>
      <c r="E38" s="28" t="s">
        <v>784</v>
      </c>
      <c r="J38" s="28" t="s">
        <v>783</v>
      </c>
    </row>
    <row r="39" spans="1:17" x14ac:dyDescent="0.2">
      <c r="A39" s="28" t="s">
        <v>794</v>
      </c>
      <c r="C39" s="28" t="s">
        <v>781</v>
      </c>
      <c r="E39" s="28" t="s">
        <v>1094</v>
      </c>
      <c r="J39" s="28" t="s">
        <v>1301</v>
      </c>
    </row>
    <row r="40" spans="1:17" x14ac:dyDescent="0.2">
      <c r="A40" s="28" t="s">
        <v>793</v>
      </c>
      <c r="C40" s="28" t="s">
        <v>789</v>
      </c>
      <c r="E40" s="28" t="s">
        <v>1242</v>
      </c>
      <c r="J40" s="28" t="s">
        <v>1301</v>
      </c>
    </row>
    <row r="42" spans="1:17" x14ac:dyDescent="0.2">
      <c r="A42" s="28" t="s">
        <v>792</v>
      </c>
      <c r="C42" s="28" t="s">
        <v>785</v>
      </c>
      <c r="E42" s="28" t="s">
        <v>784</v>
      </c>
      <c r="J42" s="28" t="s">
        <v>783</v>
      </c>
    </row>
    <row r="43" spans="1:17" x14ac:dyDescent="0.2">
      <c r="A43" s="28" t="s">
        <v>791</v>
      </c>
      <c r="C43" s="28" t="s">
        <v>781</v>
      </c>
      <c r="E43" s="28" t="s">
        <v>1095</v>
      </c>
      <c r="J43" s="28" t="s">
        <v>1301</v>
      </c>
    </row>
    <row r="44" spans="1:17" x14ac:dyDescent="0.2">
      <c r="A44" s="28" t="s">
        <v>790</v>
      </c>
      <c r="C44" s="28" t="s">
        <v>789</v>
      </c>
      <c r="E44" s="28" t="s">
        <v>788</v>
      </c>
      <c r="J44" s="28" t="s">
        <v>787</v>
      </c>
    </row>
    <row r="46" spans="1:17" x14ac:dyDescent="0.2">
      <c r="A46" s="28" t="s">
        <v>786</v>
      </c>
      <c r="C46" s="28" t="s">
        <v>785</v>
      </c>
      <c r="E46" s="28" t="s">
        <v>784</v>
      </c>
      <c r="J46" s="28" t="s">
        <v>783</v>
      </c>
    </row>
    <row r="47" spans="1:17" x14ac:dyDescent="0.2">
      <c r="A47" s="28" t="s">
        <v>782</v>
      </c>
      <c r="C47" s="28" t="s">
        <v>781</v>
      </c>
      <c r="E47" s="28" t="s">
        <v>1094</v>
      </c>
      <c r="J47" s="28" t="s">
        <v>1301</v>
      </c>
    </row>
    <row r="49" spans="1:7" x14ac:dyDescent="0.2">
      <c r="A49" s="28" t="s">
        <v>1096</v>
      </c>
      <c r="E49" s="28" t="s">
        <v>1097</v>
      </c>
    </row>
    <row r="50" spans="1:7" x14ac:dyDescent="0.2">
      <c r="A50" s="28" t="s">
        <v>1098</v>
      </c>
      <c r="E50" s="28" t="s">
        <v>1099</v>
      </c>
    </row>
    <row r="52" spans="1:7" x14ac:dyDescent="0.2">
      <c r="A52" s="28" t="s">
        <v>1100</v>
      </c>
      <c r="E52" s="28" t="s">
        <v>1101</v>
      </c>
    </row>
    <row r="53" spans="1:7" ht="15" x14ac:dyDescent="0.25">
      <c r="A53" s="28" t="s">
        <v>1102</v>
      </c>
      <c r="E53" s="71" t="s">
        <v>1103</v>
      </c>
      <c r="G53" s="28" t="s">
        <v>1104</v>
      </c>
    </row>
  </sheetData>
  <hyperlinks>
    <hyperlink ref="K13" r:id="rId1"/>
    <hyperlink ref="K28" r:id="rId2"/>
    <hyperlink ref="E53" r:id="rId3"/>
  </hyperlinks>
  <pageMargins left="0.70866141732283472" right="0.70866141732283472" top="0.74803149606299213" bottom="0.74803149606299213" header="0.31496062992125984" footer="0.31496062992125984"/>
  <pageSetup paperSize="9"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23"/>
  <sheetViews>
    <sheetView zoomScaleNormal="100" workbookViewId="0">
      <pane xSplit="1" ySplit="7" topLeftCell="B8" activePane="bottomRight" state="frozen"/>
      <selection pane="topRight" activeCell="B1" sqref="B1"/>
      <selection pane="bottomLeft" activeCell="A8" sqref="A8"/>
      <selection pane="bottomRight" activeCell="E2" sqref="E2"/>
    </sheetView>
  </sheetViews>
  <sheetFormatPr defaultRowHeight="12.75" x14ac:dyDescent="0.2"/>
  <cols>
    <col min="1" max="1" width="30.7109375" style="28" customWidth="1"/>
    <col min="2" max="64" width="10.7109375" style="28" customWidth="1"/>
    <col min="65" max="16384" width="9.140625" style="28"/>
  </cols>
  <sheetData>
    <row r="1" spans="1:64" x14ac:dyDescent="0.2">
      <c r="A1" s="72" t="s">
        <v>0</v>
      </c>
    </row>
    <row r="2" spans="1:64" x14ac:dyDescent="0.2">
      <c r="A2" s="28" t="s">
        <v>7</v>
      </c>
      <c r="E2" s="84" t="s">
        <v>8</v>
      </c>
      <c r="I2" s="68" t="s">
        <v>1</v>
      </c>
    </row>
    <row r="3" spans="1:64" x14ac:dyDescent="0.2">
      <c r="A3" s="28" t="s">
        <v>6</v>
      </c>
      <c r="E3" s="84" t="s">
        <v>5</v>
      </c>
      <c r="I3" s="68" t="s">
        <v>895</v>
      </c>
      <c r="N3" s="68" t="s">
        <v>22</v>
      </c>
    </row>
    <row r="4" spans="1:64" x14ac:dyDescent="0.2">
      <c r="A4" s="72" t="s">
        <v>11</v>
      </c>
      <c r="B4" s="75" t="s">
        <v>12</v>
      </c>
      <c r="C4" s="75" t="s">
        <v>13</v>
      </c>
      <c r="D4" s="75" t="s">
        <v>14</v>
      </c>
      <c r="E4" s="75" t="s">
        <v>15</v>
      </c>
      <c r="F4" s="75" t="s">
        <v>17</v>
      </c>
      <c r="G4" s="75" t="s">
        <v>16</v>
      </c>
      <c r="H4" s="75" t="s">
        <v>18</v>
      </c>
      <c r="I4" s="75" t="s">
        <v>19</v>
      </c>
      <c r="J4" s="75" t="s">
        <v>20</v>
      </c>
      <c r="K4" s="75" t="s">
        <v>21</v>
      </c>
      <c r="L4" s="75" t="s">
        <v>23</v>
      </c>
      <c r="M4" s="75" t="s">
        <v>24</v>
      </c>
      <c r="N4" s="75" t="s">
        <v>25</v>
      </c>
      <c r="O4" s="75" t="s">
        <v>26</v>
      </c>
      <c r="P4" s="75" t="s">
        <v>27</v>
      </c>
      <c r="Q4" s="75" t="s">
        <v>28</v>
      </c>
      <c r="R4" s="75" t="s">
        <v>29</v>
      </c>
      <c r="S4" s="75" t="s">
        <v>30</v>
      </c>
      <c r="T4" s="75" t="s">
        <v>31</v>
      </c>
      <c r="U4" s="75" t="s">
        <v>32</v>
      </c>
      <c r="V4" s="75" t="s">
        <v>33</v>
      </c>
      <c r="W4" s="75" t="s">
        <v>34</v>
      </c>
      <c r="X4" s="75" t="s">
        <v>35</v>
      </c>
      <c r="Y4" s="75" t="s">
        <v>36</v>
      </c>
      <c r="Z4" s="75" t="s">
        <v>37</v>
      </c>
      <c r="AA4" s="75" t="s">
        <v>38</v>
      </c>
      <c r="AB4" s="75" t="s">
        <v>39</v>
      </c>
      <c r="AC4" s="75" t="s">
        <v>40</v>
      </c>
      <c r="AD4" s="75" t="s">
        <v>41</v>
      </c>
      <c r="AE4" s="75" t="s">
        <v>42</v>
      </c>
      <c r="AF4" s="75" t="s">
        <v>43</v>
      </c>
      <c r="AG4" s="75" t="s">
        <v>44</v>
      </c>
      <c r="AH4" s="75" t="s">
        <v>45</v>
      </c>
      <c r="AI4" s="75" t="s">
        <v>46</v>
      </c>
      <c r="AJ4" s="75" t="s">
        <v>47</v>
      </c>
      <c r="AK4" s="75" t="s">
        <v>48</v>
      </c>
      <c r="AL4" s="75" t="s">
        <v>49</v>
      </c>
      <c r="AM4" s="75" t="s">
        <v>50</v>
      </c>
      <c r="AN4" s="75" t="s">
        <v>51</v>
      </c>
      <c r="AO4" s="75" t="s">
        <v>52</v>
      </c>
      <c r="AP4" s="75" t="s">
        <v>53</v>
      </c>
      <c r="AQ4" s="75" t="s">
        <v>54</v>
      </c>
      <c r="AR4" s="75" t="s">
        <v>55</v>
      </c>
      <c r="AS4" s="75" t="s">
        <v>56</v>
      </c>
      <c r="AT4" s="75" t="s">
        <v>57</v>
      </c>
      <c r="AU4" s="75" t="s">
        <v>58</v>
      </c>
      <c r="AV4" s="75" t="s">
        <v>59</v>
      </c>
      <c r="AW4" s="75" t="s">
        <v>60</v>
      </c>
      <c r="AX4" s="75" t="s">
        <v>61</v>
      </c>
      <c r="AY4" s="75" t="s">
        <v>62</v>
      </c>
      <c r="AZ4" s="75" t="s">
        <v>63</v>
      </c>
      <c r="BA4" s="75" t="s">
        <v>64</v>
      </c>
      <c r="BB4" s="75" t="s">
        <v>65</v>
      </c>
      <c r="BC4" s="75" t="s">
        <v>66</v>
      </c>
      <c r="BD4" s="75" t="s">
        <v>67</v>
      </c>
      <c r="BE4" s="75" t="s">
        <v>68</v>
      </c>
      <c r="BF4" s="75" t="s">
        <v>69</v>
      </c>
      <c r="BG4" s="75" t="s">
        <v>70</v>
      </c>
      <c r="BH4" s="75" t="s">
        <v>71</v>
      </c>
      <c r="BI4" s="75" t="s">
        <v>72</v>
      </c>
      <c r="BJ4" s="75" t="s">
        <v>73</v>
      </c>
      <c r="BK4" s="75" t="s">
        <v>74</v>
      </c>
      <c r="BL4" s="75" t="s">
        <v>75</v>
      </c>
    </row>
    <row r="5" spans="1:64" x14ac:dyDescent="0.2">
      <c r="B5" s="72">
        <v>2006</v>
      </c>
      <c r="C5" s="72">
        <v>2007</v>
      </c>
      <c r="D5" s="72">
        <v>2008</v>
      </c>
      <c r="E5" s="72">
        <v>2009</v>
      </c>
      <c r="F5" s="72">
        <v>2010</v>
      </c>
      <c r="G5" s="72">
        <v>2011</v>
      </c>
      <c r="H5" s="72">
        <v>2012</v>
      </c>
      <c r="I5" s="72">
        <v>2013</v>
      </c>
      <c r="J5" s="72">
        <v>2014</v>
      </c>
      <c r="K5" s="72">
        <v>2015</v>
      </c>
      <c r="L5" s="72">
        <v>2016</v>
      </c>
      <c r="M5" s="72">
        <v>2017</v>
      </c>
      <c r="N5" s="72">
        <v>2018</v>
      </c>
      <c r="O5" s="72">
        <v>2019</v>
      </c>
      <c r="P5" s="72">
        <v>2020</v>
      </c>
      <c r="Q5" s="72">
        <v>2021</v>
      </c>
      <c r="R5" s="72">
        <v>2022</v>
      </c>
      <c r="S5" s="72">
        <v>2023</v>
      </c>
      <c r="T5" s="72">
        <v>2024</v>
      </c>
      <c r="U5" s="72">
        <v>2025</v>
      </c>
      <c r="V5" s="72">
        <v>2026</v>
      </c>
      <c r="W5" s="72">
        <v>2027</v>
      </c>
      <c r="X5" s="72">
        <v>2028</v>
      </c>
      <c r="Y5" s="72">
        <v>2029</v>
      </c>
      <c r="Z5" s="72">
        <v>2030</v>
      </c>
      <c r="AA5" s="72">
        <v>2031</v>
      </c>
      <c r="AB5" s="72">
        <v>2032</v>
      </c>
      <c r="AC5" s="72">
        <v>2033</v>
      </c>
      <c r="AD5" s="72">
        <v>2034</v>
      </c>
      <c r="AE5" s="72">
        <v>2035</v>
      </c>
      <c r="AF5" s="72">
        <v>2036</v>
      </c>
      <c r="AG5" s="72">
        <v>2037</v>
      </c>
      <c r="AH5" s="72">
        <v>2038</v>
      </c>
      <c r="AI5" s="72">
        <v>2039</v>
      </c>
      <c r="AJ5" s="72">
        <v>2040</v>
      </c>
      <c r="AK5" s="72">
        <v>2041</v>
      </c>
      <c r="AL5" s="72">
        <v>2042</v>
      </c>
      <c r="AM5" s="72">
        <v>2043</v>
      </c>
      <c r="AN5" s="72">
        <v>2044</v>
      </c>
      <c r="AO5" s="72">
        <v>2045</v>
      </c>
      <c r="AP5" s="72">
        <v>2046</v>
      </c>
      <c r="AQ5" s="72">
        <v>2047</v>
      </c>
      <c r="AR5" s="72">
        <v>2048</v>
      </c>
      <c r="AS5" s="72">
        <v>2049</v>
      </c>
      <c r="AT5" s="72">
        <v>2050</v>
      </c>
      <c r="AU5" s="72">
        <v>2051</v>
      </c>
      <c r="AV5" s="72">
        <v>2052</v>
      </c>
      <c r="AW5" s="72">
        <v>2053</v>
      </c>
      <c r="AX5" s="72">
        <v>2054</v>
      </c>
      <c r="AY5" s="72">
        <v>2055</v>
      </c>
      <c r="AZ5" s="72">
        <v>2056</v>
      </c>
      <c r="BA5" s="72">
        <v>2057</v>
      </c>
      <c r="BB5" s="72">
        <v>2058</v>
      </c>
      <c r="BC5" s="72">
        <v>2059</v>
      </c>
      <c r="BD5" s="72">
        <v>2060</v>
      </c>
      <c r="BE5" s="72">
        <v>2061</v>
      </c>
      <c r="BF5" s="72">
        <v>2062</v>
      </c>
      <c r="BG5" s="72">
        <v>2063</v>
      </c>
      <c r="BH5" s="72">
        <v>2064</v>
      </c>
      <c r="BI5" s="72">
        <v>2065</v>
      </c>
      <c r="BJ5" s="72">
        <v>2066</v>
      </c>
      <c r="BK5" s="72">
        <v>2067</v>
      </c>
      <c r="BL5" s="72">
        <v>2068</v>
      </c>
    </row>
    <row r="6" spans="1:64" x14ac:dyDescent="0.2">
      <c r="A6" s="72" t="s">
        <v>76</v>
      </c>
      <c r="B6" s="83">
        <f t="shared" ref="B6:BL6" si="0">SUM(B$10:B$100,B$110:B$200)/1000000</f>
        <v>4.1846300000000003</v>
      </c>
      <c r="C6" s="83">
        <f t="shared" si="0"/>
        <v>4.2238600000000002</v>
      </c>
      <c r="D6" s="83">
        <f t="shared" si="0"/>
        <v>4.2597500000000004</v>
      </c>
      <c r="E6" s="83">
        <f t="shared" si="0"/>
        <v>4.3025900000000004</v>
      </c>
      <c r="F6" s="83">
        <f t="shared" si="0"/>
        <v>4.35067</v>
      </c>
      <c r="G6" s="83">
        <f t="shared" si="0"/>
        <v>4.3839699999999997</v>
      </c>
      <c r="H6" s="83">
        <f t="shared" si="0"/>
        <v>4.4079800000000002</v>
      </c>
      <c r="I6" s="83">
        <f t="shared" si="0"/>
        <v>4.4420999999999999</v>
      </c>
      <c r="J6" s="83">
        <f t="shared" si="0"/>
        <v>4.50969</v>
      </c>
      <c r="K6" s="83">
        <f t="shared" si="0"/>
        <v>4.5957499999999998</v>
      </c>
      <c r="L6" s="83">
        <f t="shared" si="0"/>
        <v>4.6929999999999996</v>
      </c>
      <c r="M6" s="83">
        <f t="shared" si="0"/>
        <v>4.78261</v>
      </c>
      <c r="N6" s="83">
        <f t="shared" si="0"/>
        <v>4.8646099999999999</v>
      </c>
      <c r="O6" s="83">
        <f t="shared" si="0"/>
        <v>4.9386999999999999</v>
      </c>
      <c r="P6" s="83">
        <f t="shared" si="0"/>
        <v>5.0042799999999996</v>
      </c>
      <c r="Q6" s="83">
        <f t="shared" si="0"/>
        <v>5.0615600000000001</v>
      </c>
      <c r="R6" s="83">
        <f t="shared" si="0"/>
        <v>5.1098100000000004</v>
      </c>
      <c r="S6" s="83">
        <f t="shared" si="0"/>
        <v>5.1579199999999998</v>
      </c>
      <c r="T6" s="83">
        <f t="shared" si="0"/>
        <v>5.2055499999999997</v>
      </c>
      <c r="U6" s="83">
        <f t="shared" si="0"/>
        <v>5.2527699999999999</v>
      </c>
      <c r="V6" s="83">
        <f t="shared" si="0"/>
        <v>5.2993399999999999</v>
      </c>
      <c r="W6" s="83">
        <f t="shared" si="0"/>
        <v>5.3449900000000001</v>
      </c>
      <c r="X6" s="83">
        <f t="shared" si="0"/>
        <v>5.3897599999999999</v>
      </c>
      <c r="Y6" s="83">
        <f t="shared" si="0"/>
        <v>5.4333400000000003</v>
      </c>
      <c r="Z6" s="83">
        <f t="shared" si="0"/>
        <v>5.4756400000000003</v>
      </c>
      <c r="AA6" s="83">
        <f t="shared" si="0"/>
        <v>5.5167999999999999</v>
      </c>
      <c r="AB6" s="83">
        <f t="shared" si="0"/>
        <v>5.5564600000000004</v>
      </c>
      <c r="AC6" s="83">
        <f t="shared" si="0"/>
        <v>5.5949400000000002</v>
      </c>
      <c r="AD6" s="83">
        <f t="shared" si="0"/>
        <v>5.6322000000000001</v>
      </c>
      <c r="AE6" s="83">
        <f t="shared" si="0"/>
        <v>5.6680799999999998</v>
      </c>
      <c r="AF6" s="83">
        <f t="shared" si="0"/>
        <v>5.7029300000000003</v>
      </c>
      <c r="AG6" s="83">
        <f t="shared" si="0"/>
        <v>5.7368899999999998</v>
      </c>
      <c r="AH6" s="83">
        <f t="shared" si="0"/>
        <v>5.7697900000000004</v>
      </c>
      <c r="AI6" s="83">
        <f t="shared" si="0"/>
        <v>5.8018299999999998</v>
      </c>
      <c r="AJ6" s="83">
        <f t="shared" si="0"/>
        <v>5.8332499999999996</v>
      </c>
      <c r="AK6" s="83">
        <f t="shared" si="0"/>
        <v>5.8638000000000003</v>
      </c>
      <c r="AL6" s="83">
        <f t="shared" si="0"/>
        <v>5.8937799999999996</v>
      </c>
      <c r="AM6" s="83">
        <f t="shared" si="0"/>
        <v>5.9231199999999999</v>
      </c>
      <c r="AN6" s="83">
        <f t="shared" si="0"/>
        <v>5.9518700000000004</v>
      </c>
      <c r="AO6" s="83">
        <f t="shared" si="0"/>
        <v>5.9798900000000001</v>
      </c>
      <c r="AP6" s="83">
        <f t="shared" si="0"/>
        <v>6.0073699999999999</v>
      </c>
      <c r="AQ6" s="83">
        <f t="shared" si="0"/>
        <v>6.0341100000000001</v>
      </c>
      <c r="AR6" s="83">
        <f t="shared" si="0"/>
        <v>6.0604199999999997</v>
      </c>
      <c r="AS6" s="83">
        <f t="shared" si="0"/>
        <v>6.0863500000000004</v>
      </c>
      <c r="AT6" s="83">
        <f t="shared" si="0"/>
        <v>6.1116299999999999</v>
      </c>
      <c r="AU6" s="83">
        <f t="shared" si="0"/>
        <v>6.1362899999999998</v>
      </c>
      <c r="AV6" s="83">
        <f t="shared" si="0"/>
        <v>6.1606800000000002</v>
      </c>
      <c r="AW6" s="83">
        <f t="shared" si="0"/>
        <v>6.1845299999999996</v>
      </c>
      <c r="AX6" s="83">
        <f t="shared" si="0"/>
        <v>6.2080900000000003</v>
      </c>
      <c r="AY6" s="83">
        <f t="shared" si="0"/>
        <v>6.2313200000000002</v>
      </c>
      <c r="AZ6" s="83">
        <f t="shared" si="0"/>
        <v>6.25434</v>
      </c>
      <c r="BA6" s="83">
        <f t="shared" si="0"/>
        <v>6.2770799999999998</v>
      </c>
      <c r="BB6" s="83">
        <f t="shared" si="0"/>
        <v>6.2995099999999997</v>
      </c>
      <c r="BC6" s="83">
        <f t="shared" si="0"/>
        <v>6.32186</v>
      </c>
      <c r="BD6" s="83">
        <f t="shared" si="0"/>
        <v>6.3439899999999998</v>
      </c>
      <c r="BE6" s="83">
        <f t="shared" si="0"/>
        <v>6.3660199999999998</v>
      </c>
      <c r="BF6" s="83">
        <f t="shared" si="0"/>
        <v>6.3877600000000001</v>
      </c>
      <c r="BG6" s="83">
        <f t="shared" si="0"/>
        <v>6.4094600000000002</v>
      </c>
      <c r="BH6" s="83">
        <f t="shared" si="0"/>
        <v>6.4307299999999996</v>
      </c>
      <c r="BI6" s="83">
        <f t="shared" si="0"/>
        <v>6.45228</v>
      </c>
      <c r="BJ6" s="83">
        <f t="shared" si="0"/>
        <v>6.47349</v>
      </c>
      <c r="BK6" s="83">
        <f t="shared" si="0"/>
        <v>6.4946999999999999</v>
      </c>
      <c r="BL6" s="83">
        <f t="shared" si="0"/>
        <v>6.51586</v>
      </c>
    </row>
    <row r="7" spans="1:64" x14ac:dyDescent="0.2">
      <c r="A7" s="68" t="s">
        <v>77</v>
      </c>
      <c r="B7" s="77"/>
      <c r="C7" s="77">
        <f t="shared" ref="C7:BL7" si="1">C$6/B$6-1</f>
        <v>9.3747834336608271E-3</v>
      </c>
      <c r="D7" s="77">
        <f t="shared" si="1"/>
        <v>8.4969672290275966E-3</v>
      </c>
      <c r="E7" s="77">
        <f t="shared" si="1"/>
        <v>1.0056928223487249E-2</v>
      </c>
      <c r="F7" s="77">
        <f t="shared" si="1"/>
        <v>1.1174664562507708E-2</v>
      </c>
      <c r="G7" s="77">
        <f t="shared" si="1"/>
        <v>7.6539935228365774E-3</v>
      </c>
      <c r="H7" s="77">
        <f t="shared" si="1"/>
        <v>5.4767710545464698E-3</v>
      </c>
      <c r="I7" s="77">
        <f t="shared" si="1"/>
        <v>7.7405069895961631E-3</v>
      </c>
      <c r="J7" s="77">
        <f t="shared" si="1"/>
        <v>1.5215776322009766E-2</v>
      </c>
      <c r="K7" s="77">
        <f t="shared" si="1"/>
        <v>1.9083351627273704E-2</v>
      </c>
      <c r="L7" s="77">
        <f t="shared" si="1"/>
        <v>2.1160855137899004E-2</v>
      </c>
      <c r="M7" s="77">
        <f t="shared" si="1"/>
        <v>1.9094395908800355E-2</v>
      </c>
      <c r="N7" s="77">
        <f t="shared" si="1"/>
        <v>1.7145449869422791E-2</v>
      </c>
      <c r="O7" s="77">
        <f t="shared" si="1"/>
        <v>1.5230409015316804E-2</v>
      </c>
      <c r="P7" s="77">
        <f t="shared" si="1"/>
        <v>1.3278798064267905E-2</v>
      </c>
      <c r="Q7" s="77">
        <f t="shared" si="1"/>
        <v>1.1446202051044407E-2</v>
      </c>
      <c r="R7" s="77">
        <f t="shared" si="1"/>
        <v>9.5326342076356152E-3</v>
      </c>
      <c r="S7" s="77">
        <f t="shared" si="1"/>
        <v>9.4152228752144573E-3</v>
      </c>
      <c r="T7" s="77">
        <f t="shared" si="1"/>
        <v>9.2343425256691258E-3</v>
      </c>
      <c r="U7" s="77">
        <f t="shared" si="1"/>
        <v>9.0710875892077159E-3</v>
      </c>
      <c r="V7" s="77">
        <f t="shared" si="1"/>
        <v>8.8657984263540435E-3</v>
      </c>
      <c r="W7" s="77">
        <f t="shared" si="1"/>
        <v>8.6142802688637943E-3</v>
      </c>
      <c r="X7" s="77">
        <f t="shared" si="1"/>
        <v>8.3760680562545708E-3</v>
      </c>
      <c r="Y7" s="77">
        <f t="shared" si="1"/>
        <v>8.0857032595145206E-3</v>
      </c>
      <c r="Z7" s="77">
        <f t="shared" si="1"/>
        <v>7.7852665211453065E-3</v>
      </c>
      <c r="AA7" s="77">
        <f t="shared" si="1"/>
        <v>7.516929527872529E-3</v>
      </c>
      <c r="AB7" s="77">
        <f t="shared" si="1"/>
        <v>7.188950116009396E-3</v>
      </c>
      <c r="AC7" s="77">
        <f t="shared" si="1"/>
        <v>6.9252725656263614E-3</v>
      </c>
      <c r="AD7" s="77">
        <f t="shared" si="1"/>
        <v>6.6595888427758432E-3</v>
      </c>
      <c r="AE7" s="77">
        <f t="shared" si="1"/>
        <v>6.3705124107809041E-3</v>
      </c>
      <c r="AF7" s="77">
        <f t="shared" si="1"/>
        <v>6.1484665001201311E-3</v>
      </c>
      <c r="AG7" s="77">
        <f t="shared" si="1"/>
        <v>5.9548337433563692E-3</v>
      </c>
      <c r="AH7" s="77">
        <f t="shared" si="1"/>
        <v>5.7348145075120094E-3</v>
      </c>
      <c r="AI7" s="77">
        <f t="shared" si="1"/>
        <v>5.5530617232169011E-3</v>
      </c>
      <c r="AJ7" s="77">
        <f t="shared" si="1"/>
        <v>5.4155326853768671E-3</v>
      </c>
      <c r="AK7" s="77">
        <f t="shared" si="1"/>
        <v>5.2372176745383303E-3</v>
      </c>
      <c r="AL7" s="77">
        <f t="shared" si="1"/>
        <v>5.1127255363414559E-3</v>
      </c>
      <c r="AM7" s="77">
        <f t="shared" si="1"/>
        <v>4.9781294856612313E-3</v>
      </c>
      <c r="AN7" s="77">
        <f t="shared" si="1"/>
        <v>4.8538608030903596E-3</v>
      </c>
      <c r="AO7" s="77">
        <f t="shared" si="1"/>
        <v>4.707764114471491E-3</v>
      </c>
      <c r="AP7" s="77">
        <f t="shared" si="1"/>
        <v>4.5954022565632968E-3</v>
      </c>
      <c r="AQ7" s="77">
        <f t="shared" si="1"/>
        <v>4.4511991104261295E-3</v>
      </c>
      <c r="AR7" s="77">
        <f t="shared" si="1"/>
        <v>4.3602121936787697E-3</v>
      </c>
      <c r="AS7" s="77">
        <f t="shared" si="1"/>
        <v>4.2785813524477412E-3</v>
      </c>
      <c r="AT7" s="77">
        <f t="shared" si="1"/>
        <v>4.1535567294026521E-3</v>
      </c>
      <c r="AU7" s="77">
        <f t="shared" si="1"/>
        <v>4.0349301250239833E-3</v>
      </c>
      <c r="AV7" s="77">
        <f t="shared" si="1"/>
        <v>3.9747143632391513E-3</v>
      </c>
      <c r="AW7" s="77">
        <f t="shared" si="1"/>
        <v>3.8713258925962002E-3</v>
      </c>
      <c r="AX7" s="77">
        <f t="shared" si="1"/>
        <v>3.8095053302353854E-3</v>
      </c>
      <c r="AY7" s="77">
        <f t="shared" si="1"/>
        <v>3.7418916285041348E-3</v>
      </c>
      <c r="AZ7" s="77">
        <f t="shared" si="1"/>
        <v>3.6942413485425707E-3</v>
      </c>
      <c r="BA7" s="77">
        <f t="shared" si="1"/>
        <v>3.6358752482275047E-3</v>
      </c>
      <c r="BB7" s="77">
        <f t="shared" si="1"/>
        <v>3.5733175298069408E-3</v>
      </c>
      <c r="BC7" s="77">
        <f t="shared" si="1"/>
        <v>3.5478949950076277E-3</v>
      </c>
      <c r="BD7" s="77">
        <f t="shared" si="1"/>
        <v>3.5005520527187084E-3</v>
      </c>
      <c r="BE7" s="77">
        <f t="shared" si="1"/>
        <v>3.4725779832565085E-3</v>
      </c>
      <c r="BF7" s="77">
        <f t="shared" si="1"/>
        <v>3.4150065504034988E-3</v>
      </c>
      <c r="BG7" s="77">
        <f t="shared" si="1"/>
        <v>3.3971219958170984E-3</v>
      </c>
      <c r="BH7" s="77">
        <f t="shared" si="1"/>
        <v>3.3185322944522255E-3</v>
      </c>
      <c r="BI7" s="77">
        <f t="shared" si="1"/>
        <v>3.3510969983190364E-3</v>
      </c>
      <c r="BJ7" s="77">
        <f t="shared" si="1"/>
        <v>3.2872101024754574E-3</v>
      </c>
      <c r="BK7" s="77">
        <f t="shared" si="1"/>
        <v>3.2764397566074077E-3</v>
      </c>
      <c r="BL7" s="77">
        <f t="shared" si="1"/>
        <v>3.2580411720326552E-3</v>
      </c>
    </row>
    <row r="8" spans="1:64" x14ac:dyDescent="0.2">
      <c r="A8" s="72" t="s">
        <v>2</v>
      </c>
    </row>
    <row r="9" spans="1:64" x14ac:dyDescent="0.2">
      <c r="A9" s="72" t="s">
        <v>1172</v>
      </c>
    </row>
    <row r="10" spans="1:64" x14ac:dyDescent="0.2">
      <c r="A10" s="28">
        <v>0</v>
      </c>
      <c r="B10" s="80">
        <v>28910</v>
      </c>
      <c r="C10" s="80">
        <v>30230</v>
      </c>
      <c r="D10" s="80">
        <v>31360</v>
      </c>
      <c r="E10" s="80">
        <v>30830</v>
      </c>
      <c r="F10" s="80">
        <v>31510</v>
      </c>
      <c r="G10" s="80">
        <v>30670</v>
      </c>
      <c r="H10" s="80">
        <v>29880</v>
      </c>
      <c r="I10" s="80">
        <v>29370</v>
      </c>
      <c r="J10" s="80">
        <v>28560</v>
      </c>
      <c r="K10" s="80">
        <v>28670</v>
      </c>
      <c r="L10" s="80">
        <v>28980</v>
      </c>
      <c r="M10" s="80">
        <v>29690</v>
      </c>
      <c r="N10" s="80">
        <v>30460</v>
      </c>
      <c r="O10" s="80">
        <v>31120</v>
      </c>
      <c r="P10" s="80">
        <v>31650</v>
      </c>
      <c r="Q10" s="80">
        <v>32040</v>
      </c>
      <c r="R10" s="80">
        <v>32270</v>
      </c>
      <c r="S10" s="80">
        <v>32410</v>
      </c>
      <c r="T10" s="80">
        <v>32480</v>
      </c>
      <c r="U10" s="80">
        <v>32480</v>
      </c>
      <c r="V10" s="80">
        <v>32420</v>
      </c>
      <c r="W10" s="80">
        <v>32300</v>
      </c>
      <c r="X10" s="80">
        <v>32140</v>
      </c>
      <c r="Y10" s="80">
        <v>31950</v>
      </c>
      <c r="Z10" s="80">
        <v>31730</v>
      </c>
      <c r="AA10" s="80">
        <v>31490</v>
      </c>
      <c r="AB10" s="80">
        <v>31260</v>
      </c>
      <c r="AC10" s="80">
        <v>31050</v>
      </c>
      <c r="AD10" s="80">
        <v>30860</v>
      </c>
      <c r="AE10" s="80">
        <v>30720</v>
      </c>
      <c r="AF10" s="80">
        <v>30630</v>
      </c>
      <c r="AG10" s="80">
        <v>30590</v>
      </c>
      <c r="AH10" s="80">
        <v>30590</v>
      </c>
      <c r="AI10" s="80">
        <v>30640</v>
      </c>
      <c r="AJ10" s="80">
        <v>30710</v>
      </c>
      <c r="AK10" s="80">
        <v>30800</v>
      </c>
      <c r="AL10" s="80">
        <v>30890</v>
      </c>
      <c r="AM10" s="80">
        <v>30990</v>
      </c>
      <c r="AN10" s="80">
        <v>31090</v>
      </c>
      <c r="AO10" s="80">
        <v>31180</v>
      </c>
      <c r="AP10" s="80">
        <v>31260</v>
      </c>
      <c r="AQ10" s="80">
        <v>31340</v>
      </c>
      <c r="AR10" s="80">
        <v>31420</v>
      </c>
      <c r="AS10" s="80">
        <v>31500</v>
      </c>
      <c r="AT10" s="80">
        <v>31570</v>
      </c>
      <c r="AU10" s="80">
        <v>31650</v>
      </c>
      <c r="AV10" s="80">
        <v>31720</v>
      </c>
      <c r="AW10" s="80">
        <v>31790</v>
      </c>
      <c r="AX10" s="80">
        <v>31850</v>
      </c>
      <c r="AY10" s="80">
        <v>31900</v>
      </c>
      <c r="AZ10" s="80">
        <v>31930</v>
      </c>
      <c r="BA10" s="80">
        <v>31950</v>
      </c>
      <c r="BB10" s="80">
        <v>31950</v>
      </c>
      <c r="BC10" s="80">
        <v>31930</v>
      </c>
      <c r="BD10" s="80">
        <v>31890</v>
      </c>
      <c r="BE10" s="80">
        <v>31840</v>
      </c>
      <c r="BF10" s="80">
        <v>31780</v>
      </c>
      <c r="BG10" s="80">
        <v>31710</v>
      </c>
      <c r="BH10" s="80">
        <v>31640</v>
      </c>
      <c r="BI10" s="80">
        <v>31570</v>
      </c>
      <c r="BJ10" s="80">
        <v>31510</v>
      </c>
      <c r="BK10" s="80">
        <v>31460</v>
      </c>
      <c r="BL10" s="80">
        <v>31420</v>
      </c>
    </row>
    <row r="11" spans="1:64" x14ac:dyDescent="0.2">
      <c r="A11" s="28">
        <v>1</v>
      </c>
      <c r="B11" s="80">
        <v>27990</v>
      </c>
      <c r="C11" s="80">
        <v>28850</v>
      </c>
      <c r="D11" s="80">
        <v>30110</v>
      </c>
      <c r="E11" s="80">
        <v>31260</v>
      </c>
      <c r="F11" s="80">
        <v>30820</v>
      </c>
      <c r="G11" s="80">
        <v>31460</v>
      </c>
      <c r="H11" s="80">
        <v>30640</v>
      </c>
      <c r="I11" s="80">
        <v>29950</v>
      </c>
      <c r="J11" s="80">
        <v>29530</v>
      </c>
      <c r="K11" s="80">
        <v>28880</v>
      </c>
      <c r="L11" s="80">
        <v>29040</v>
      </c>
      <c r="M11" s="80">
        <v>29250</v>
      </c>
      <c r="N11" s="80">
        <v>29910</v>
      </c>
      <c r="O11" s="80">
        <v>30630</v>
      </c>
      <c r="P11" s="80">
        <v>31240</v>
      </c>
      <c r="Q11" s="80">
        <v>31730</v>
      </c>
      <c r="R11" s="80">
        <v>32070</v>
      </c>
      <c r="S11" s="80">
        <v>32300</v>
      </c>
      <c r="T11" s="80">
        <v>32430</v>
      </c>
      <c r="U11" s="80">
        <v>32500</v>
      </c>
      <c r="V11" s="80">
        <v>32500</v>
      </c>
      <c r="W11" s="80">
        <v>32440</v>
      </c>
      <c r="X11" s="80">
        <v>32330</v>
      </c>
      <c r="Y11" s="80">
        <v>32170</v>
      </c>
      <c r="Z11" s="80">
        <v>31980</v>
      </c>
      <c r="AA11" s="80">
        <v>31760</v>
      </c>
      <c r="AB11" s="80">
        <v>31520</v>
      </c>
      <c r="AC11" s="80">
        <v>31290</v>
      </c>
      <c r="AD11" s="80">
        <v>31080</v>
      </c>
      <c r="AE11" s="80">
        <v>30890</v>
      </c>
      <c r="AF11" s="80">
        <v>30750</v>
      </c>
      <c r="AG11" s="80">
        <v>30660</v>
      </c>
      <c r="AH11" s="80">
        <v>30620</v>
      </c>
      <c r="AI11" s="80">
        <v>30630</v>
      </c>
      <c r="AJ11" s="80">
        <v>30670</v>
      </c>
      <c r="AK11" s="80">
        <v>30740</v>
      </c>
      <c r="AL11" s="80">
        <v>30830</v>
      </c>
      <c r="AM11" s="80">
        <v>30930</v>
      </c>
      <c r="AN11" s="80">
        <v>31020</v>
      </c>
      <c r="AO11" s="80">
        <v>31120</v>
      </c>
      <c r="AP11" s="80">
        <v>31210</v>
      </c>
      <c r="AQ11" s="80">
        <v>31300</v>
      </c>
      <c r="AR11" s="80">
        <v>31380</v>
      </c>
      <c r="AS11" s="80">
        <v>31460</v>
      </c>
      <c r="AT11" s="80">
        <v>31530</v>
      </c>
      <c r="AU11" s="80">
        <v>31610</v>
      </c>
      <c r="AV11" s="80">
        <v>31680</v>
      </c>
      <c r="AW11" s="80">
        <v>31760</v>
      </c>
      <c r="AX11" s="80">
        <v>31820</v>
      </c>
      <c r="AY11" s="80">
        <v>31880</v>
      </c>
      <c r="AZ11" s="80">
        <v>31930</v>
      </c>
      <c r="BA11" s="80">
        <v>31970</v>
      </c>
      <c r="BB11" s="80">
        <v>31990</v>
      </c>
      <c r="BC11" s="80">
        <v>31990</v>
      </c>
      <c r="BD11" s="80">
        <v>31970</v>
      </c>
      <c r="BE11" s="80">
        <v>31930</v>
      </c>
      <c r="BF11" s="80">
        <v>31880</v>
      </c>
      <c r="BG11" s="80">
        <v>31820</v>
      </c>
      <c r="BH11" s="80">
        <v>31750</v>
      </c>
      <c r="BI11" s="80">
        <v>31680</v>
      </c>
      <c r="BJ11" s="80">
        <v>31610</v>
      </c>
      <c r="BK11" s="80">
        <v>31550</v>
      </c>
      <c r="BL11" s="80">
        <v>31500</v>
      </c>
    </row>
    <row r="12" spans="1:64" x14ac:dyDescent="0.2">
      <c r="A12" s="28">
        <v>2</v>
      </c>
      <c r="B12" s="80">
        <v>28180</v>
      </c>
      <c r="C12" s="80">
        <v>28100</v>
      </c>
      <c r="D12" s="80">
        <v>28870</v>
      </c>
      <c r="E12" s="80">
        <v>30220</v>
      </c>
      <c r="F12" s="80">
        <v>31340</v>
      </c>
      <c r="G12" s="80">
        <v>30770</v>
      </c>
      <c r="H12" s="80">
        <v>31310</v>
      </c>
      <c r="I12" s="80">
        <v>30580</v>
      </c>
      <c r="J12" s="80">
        <v>30150</v>
      </c>
      <c r="K12" s="80">
        <v>29820</v>
      </c>
      <c r="L12" s="80">
        <v>29210</v>
      </c>
      <c r="M12" s="80">
        <v>29340</v>
      </c>
      <c r="N12" s="80">
        <v>29510</v>
      </c>
      <c r="O12" s="80">
        <v>30110</v>
      </c>
      <c r="P12" s="80">
        <v>30770</v>
      </c>
      <c r="Q12" s="80">
        <v>31330</v>
      </c>
      <c r="R12" s="80">
        <v>31770</v>
      </c>
      <c r="S12" s="80">
        <v>32110</v>
      </c>
      <c r="T12" s="80">
        <v>32340</v>
      </c>
      <c r="U12" s="80">
        <v>32480</v>
      </c>
      <c r="V12" s="80">
        <v>32540</v>
      </c>
      <c r="W12" s="80">
        <v>32540</v>
      </c>
      <c r="X12" s="80">
        <v>32480</v>
      </c>
      <c r="Y12" s="80">
        <v>32370</v>
      </c>
      <c r="Z12" s="80">
        <v>32210</v>
      </c>
      <c r="AA12" s="80">
        <v>32020</v>
      </c>
      <c r="AB12" s="80">
        <v>31800</v>
      </c>
      <c r="AC12" s="80">
        <v>31560</v>
      </c>
      <c r="AD12" s="80">
        <v>31330</v>
      </c>
      <c r="AE12" s="80">
        <v>31120</v>
      </c>
      <c r="AF12" s="80">
        <v>30940</v>
      </c>
      <c r="AG12" s="80">
        <v>30800</v>
      </c>
      <c r="AH12" s="80">
        <v>30710</v>
      </c>
      <c r="AI12" s="80">
        <v>30670</v>
      </c>
      <c r="AJ12" s="80">
        <v>30670</v>
      </c>
      <c r="AK12" s="80">
        <v>30720</v>
      </c>
      <c r="AL12" s="80">
        <v>30790</v>
      </c>
      <c r="AM12" s="80">
        <v>30870</v>
      </c>
      <c r="AN12" s="80">
        <v>30970</v>
      </c>
      <c r="AO12" s="80">
        <v>31070</v>
      </c>
      <c r="AP12" s="80">
        <v>31160</v>
      </c>
      <c r="AQ12" s="80">
        <v>31260</v>
      </c>
      <c r="AR12" s="80">
        <v>31340</v>
      </c>
      <c r="AS12" s="80">
        <v>31420</v>
      </c>
      <c r="AT12" s="80">
        <v>31500</v>
      </c>
      <c r="AU12" s="80">
        <v>31580</v>
      </c>
      <c r="AV12" s="80">
        <v>31650</v>
      </c>
      <c r="AW12" s="80">
        <v>31730</v>
      </c>
      <c r="AX12" s="80">
        <v>31800</v>
      </c>
      <c r="AY12" s="80">
        <v>31870</v>
      </c>
      <c r="AZ12" s="80">
        <v>31930</v>
      </c>
      <c r="BA12" s="80">
        <v>31980</v>
      </c>
      <c r="BB12" s="80">
        <v>32010</v>
      </c>
      <c r="BC12" s="80">
        <v>32030</v>
      </c>
      <c r="BD12" s="80">
        <v>32030</v>
      </c>
      <c r="BE12" s="80">
        <v>32010</v>
      </c>
      <c r="BF12" s="80">
        <v>31980</v>
      </c>
      <c r="BG12" s="80">
        <v>31920</v>
      </c>
      <c r="BH12" s="80">
        <v>31860</v>
      </c>
      <c r="BI12" s="80">
        <v>31800</v>
      </c>
      <c r="BJ12" s="80">
        <v>31730</v>
      </c>
      <c r="BK12" s="80">
        <v>31660</v>
      </c>
      <c r="BL12" s="80">
        <v>31600</v>
      </c>
    </row>
    <row r="13" spans="1:64" x14ac:dyDescent="0.2">
      <c r="A13" s="28">
        <v>3</v>
      </c>
      <c r="B13" s="80">
        <v>27310</v>
      </c>
      <c r="C13" s="80">
        <v>28260</v>
      </c>
      <c r="D13" s="80">
        <v>28090</v>
      </c>
      <c r="E13" s="80">
        <v>28910</v>
      </c>
      <c r="F13" s="80">
        <v>30280</v>
      </c>
      <c r="G13" s="80">
        <v>31290</v>
      </c>
      <c r="H13" s="80">
        <v>30670</v>
      </c>
      <c r="I13" s="80">
        <v>31320</v>
      </c>
      <c r="J13" s="80">
        <v>30750</v>
      </c>
      <c r="K13" s="80">
        <v>30430</v>
      </c>
      <c r="L13" s="80">
        <v>30280</v>
      </c>
      <c r="M13" s="80">
        <v>29530</v>
      </c>
      <c r="N13" s="80">
        <v>29610</v>
      </c>
      <c r="O13" s="80">
        <v>29720</v>
      </c>
      <c r="P13" s="80">
        <v>30270</v>
      </c>
      <c r="Q13" s="80">
        <v>30890</v>
      </c>
      <c r="R13" s="80">
        <v>31400</v>
      </c>
      <c r="S13" s="80">
        <v>31830</v>
      </c>
      <c r="T13" s="80">
        <v>32170</v>
      </c>
      <c r="U13" s="80">
        <v>32400</v>
      </c>
      <c r="V13" s="80">
        <v>32540</v>
      </c>
      <c r="W13" s="80">
        <v>32610</v>
      </c>
      <c r="X13" s="80">
        <v>32610</v>
      </c>
      <c r="Y13" s="80">
        <v>32550</v>
      </c>
      <c r="Z13" s="80">
        <v>32440</v>
      </c>
      <c r="AA13" s="80">
        <v>32280</v>
      </c>
      <c r="AB13" s="80">
        <v>32080</v>
      </c>
      <c r="AC13" s="80">
        <v>31860</v>
      </c>
      <c r="AD13" s="80">
        <v>31630</v>
      </c>
      <c r="AE13" s="80">
        <v>31400</v>
      </c>
      <c r="AF13" s="80">
        <v>31190</v>
      </c>
      <c r="AG13" s="80">
        <v>31010</v>
      </c>
      <c r="AH13" s="80">
        <v>30870</v>
      </c>
      <c r="AI13" s="80">
        <v>30770</v>
      </c>
      <c r="AJ13" s="80">
        <v>30730</v>
      </c>
      <c r="AK13" s="80">
        <v>30740</v>
      </c>
      <c r="AL13" s="80">
        <v>30780</v>
      </c>
      <c r="AM13" s="80">
        <v>30860</v>
      </c>
      <c r="AN13" s="80">
        <v>30940</v>
      </c>
      <c r="AO13" s="80">
        <v>31040</v>
      </c>
      <c r="AP13" s="80">
        <v>31140</v>
      </c>
      <c r="AQ13" s="80">
        <v>31230</v>
      </c>
      <c r="AR13" s="80">
        <v>31320</v>
      </c>
      <c r="AS13" s="80">
        <v>31410</v>
      </c>
      <c r="AT13" s="80">
        <v>31490</v>
      </c>
      <c r="AU13" s="80">
        <v>31570</v>
      </c>
      <c r="AV13" s="80">
        <v>31650</v>
      </c>
      <c r="AW13" s="80">
        <v>31720</v>
      </c>
      <c r="AX13" s="80">
        <v>31800</v>
      </c>
      <c r="AY13" s="80">
        <v>31870</v>
      </c>
      <c r="AZ13" s="80">
        <v>31940</v>
      </c>
      <c r="BA13" s="80">
        <v>32000</v>
      </c>
      <c r="BB13" s="80">
        <v>32050</v>
      </c>
      <c r="BC13" s="80">
        <v>32080</v>
      </c>
      <c r="BD13" s="80">
        <v>32100</v>
      </c>
      <c r="BE13" s="80">
        <v>32100</v>
      </c>
      <c r="BF13" s="80">
        <v>32080</v>
      </c>
      <c r="BG13" s="80">
        <v>32050</v>
      </c>
      <c r="BH13" s="80">
        <v>31990</v>
      </c>
      <c r="BI13" s="80">
        <v>31930</v>
      </c>
      <c r="BJ13" s="80">
        <v>31860</v>
      </c>
      <c r="BK13" s="80">
        <v>31800</v>
      </c>
      <c r="BL13" s="80">
        <v>31730</v>
      </c>
    </row>
    <row r="14" spans="1:64" x14ac:dyDescent="0.2">
      <c r="A14" s="28">
        <v>4</v>
      </c>
      <c r="B14" s="80">
        <v>27400</v>
      </c>
      <c r="C14" s="80">
        <v>27460</v>
      </c>
      <c r="D14" s="80">
        <v>28310</v>
      </c>
      <c r="E14" s="80">
        <v>28190</v>
      </c>
      <c r="F14" s="80">
        <v>29030</v>
      </c>
      <c r="G14" s="80">
        <v>30250</v>
      </c>
      <c r="H14" s="80">
        <v>31140</v>
      </c>
      <c r="I14" s="80">
        <v>30550</v>
      </c>
      <c r="J14" s="80">
        <v>31460</v>
      </c>
      <c r="K14" s="80">
        <v>31070</v>
      </c>
      <c r="L14" s="80">
        <v>30820</v>
      </c>
      <c r="M14" s="80">
        <v>30580</v>
      </c>
      <c r="N14" s="80">
        <v>29780</v>
      </c>
      <c r="O14" s="80">
        <v>29820</v>
      </c>
      <c r="P14" s="80">
        <v>29880</v>
      </c>
      <c r="Q14" s="80">
        <v>30390</v>
      </c>
      <c r="R14" s="80">
        <v>30960</v>
      </c>
      <c r="S14" s="80">
        <v>31470</v>
      </c>
      <c r="T14" s="80">
        <v>31900</v>
      </c>
      <c r="U14" s="80">
        <v>32240</v>
      </c>
      <c r="V14" s="80">
        <v>32480</v>
      </c>
      <c r="W14" s="80">
        <v>32610</v>
      </c>
      <c r="X14" s="80">
        <v>32680</v>
      </c>
      <c r="Y14" s="80">
        <v>32680</v>
      </c>
      <c r="Z14" s="80">
        <v>32620</v>
      </c>
      <c r="AA14" s="80">
        <v>32510</v>
      </c>
      <c r="AB14" s="80">
        <v>32350</v>
      </c>
      <c r="AC14" s="80">
        <v>32160</v>
      </c>
      <c r="AD14" s="80">
        <v>31940</v>
      </c>
      <c r="AE14" s="80">
        <v>31700</v>
      </c>
      <c r="AF14" s="80">
        <v>31470</v>
      </c>
      <c r="AG14" s="80">
        <v>31260</v>
      </c>
      <c r="AH14" s="80">
        <v>31080</v>
      </c>
      <c r="AI14" s="80">
        <v>30940</v>
      </c>
      <c r="AJ14" s="80">
        <v>30850</v>
      </c>
      <c r="AK14" s="80">
        <v>30810</v>
      </c>
      <c r="AL14" s="80">
        <v>30810</v>
      </c>
      <c r="AM14" s="80">
        <v>30860</v>
      </c>
      <c r="AN14" s="80">
        <v>30930</v>
      </c>
      <c r="AO14" s="80">
        <v>31020</v>
      </c>
      <c r="AP14" s="80">
        <v>31110</v>
      </c>
      <c r="AQ14" s="80">
        <v>31210</v>
      </c>
      <c r="AR14" s="80">
        <v>31310</v>
      </c>
      <c r="AS14" s="80">
        <v>31400</v>
      </c>
      <c r="AT14" s="80">
        <v>31480</v>
      </c>
      <c r="AU14" s="80">
        <v>31560</v>
      </c>
      <c r="AV14" s="80">
        <v>31640</v>
      </c>
      <c r="AW14" s="80">
        <v>31720</v>
      </c>
      <c r="AX14" s="80">
        <v>31790</v>
      </c>
      <c r="AY14" s="80">
        <v>31870</v>
      </c>
      <c r="AZ14" s="80">
        <v>31940</v>
      </c>
      <c r="BA14" s="80">
        <v>32010</v>
      </c>
      <c r="BB14" s="80">
        <v>32070</v>
      </c>
      <c r="BC14" s="80">
        <v>32120</v>
      </c>
      <c r="BD14" s="80">
        <v>32160</v>
      </c>
      <c r="BE14" s="80">
        <v>32170</v>
      </c>
      <c r="BF14" s="80">
        <v>32170</v>
      </c>
      <c r="BG14" s="80">
        <v>32160</v>
      </c>
      <c r="BH14" s="80">
        <v>32120</v>
      </c>
      <c r="BI14" s="80">
        <v>32070</v>
      </c>
      <c r="BJ14" s="80">
        <v>32010</v>
      </c>
      <c r="BK14" s="80">
        <v>31940</v>
      </c>
      <c r="BL14" s="80">
        <v>31870</v>
      </c>
    </row>
    <row r="15" spans="1:64" x14ac:dyDescent="0.2">
      <c r="A15" s="28">
        <v>5</v>
      </c>
      <c r="B15" s="80">
        <v>28370</v>
      </c>
      <c r="C15" s="80">
        <v>27650</v>
      </c>
      <c r="D15" s="80">
        <v>27610</v>
      </c>
      <c r="E15" s="80">
        <v>28410</v>
      </c>
      <c r="F15" s="80">
        <v>28320</v>
      </c>
      <c r="G15" s="80">
        <v>29050</v>
      </c>
      <c r="H15" s="80">
        <v>30120</v>
      </c>
      <c r="I15" s="80">
        <v>31090</v>
      </c>
      <c r="J15" s="80">
        <v>30740</v>
      </c>
      <c r="K15" s="80">
        <v>31730</v>
      </c>
      <c r="L15" s="80">
        <v>31410</v>
      </c>
      <c r="M15" s="80">
        <v>31100</v>
      </c>
      <c r="N15" s="80">
        <v>30810</v>
      </c>
      <c r="O15" s="80">
        <v>29980</v>
      </c>
      <c r="P15" s="80">
        <v>29970</v>
      </c>
      <c r="Q15" s="80">
        <v>30000</v>
      </c>
      <c r="R15" s="80">
        <v>30460</v>
      </c>
      <c r="S15" s="80">
        <v>31030</v>
      </c>
      <c r="T15" s="80">
        <v>31540</v>
      </c>
      <c r="U15" s="80">
        <v>31970</v>
      </c>
      <c r="V15" s="80">
        <v>32310</v>
      </c>
      <c r="W15" s="80">
        <v>32540</v>
      </c>
      <c r="X15" s="80">
        <v>32680</v>
      </c>
      <c r="Y15" s="80">
        <v>32750</v>
      </c>
      <c r="Z15" s="80">
        <v>32750</v>
      </c>
      <c r="AA15" s="80">
        <v>32690</v>
      </c>
      <c r="AB15" s="80">
        <v>32580</v>
      </c>
      <c r="AC15" s="80">
        <v>32420</v>
      </c>
      <c r="AD15" s="80">
        <v>32230</v>
      </c>
      <c r="AE15" s="80">
        <v>32010</v>
      </c>
      <c r="AF15" s="80">
        <v>31770</v>
      </c>
      <c r="AG15" s="80">
        <v>31540</v>
      </c>
      <c r="AH15" s="80">
        <v>31330</v>
      </c>
      <c r="AI15" s="80">
        <v>31150</v>
      </c>
      <c r="AJ15" s="80">
        <v>31010</v>
      </c>
      <c r="AK15" s="80">
        <v>30920</v>
      </c>
      <c r="AL15" s="80">
        <v>30880</v>
      </c>
      <c r="AM15" s="80">
        <v>30880</v>
      </c>
      <c r="AN15" s="80">
        <v>30930</v>
      </c>
      <c r="AO15" s="80">
        <v>31000</v>
      </c>
      <c r="AP15" s="80">
        <v>31090</v>
      </c>
      <c r="AQ15" s="80">
        <v>31180</v>
      </c>
      <c r="AR15" s="80">
        <v>31280</v>
      </c>
      <c r="AS15" s="80">
        <v>31380</v>
      </c>
      <c r="AT15" s="80">
        <v>31470</v>
      </c>
      <c r="AU15" s="80">
        <v>31550</v>
      </c>
      <c r="AV15" s="80">
        <v>31630</v>
      </c>
      <c r="AW15" s="80">
        <v>31710</v>
      </c>
      <c r="AX15" s="80">
        <v>31790</v>
      </c>
      <c r="AY15" s="80">
        <v>31870</v>
      </c>
      <c r="AZ15" s="80">
        <v>31940</v>
      </c>
      <c r="BA15" s="80">
        <v>32010</v>
      </c>
      <c r="BB15" s="80">
        <v>32080</v>
      </c>
      <c r="BC15" s="80">
        <v>32140</v>
      </c>
      <c r="BD15" s="80">
        <v>32190</v>
      </c>
      <c r="BE15" s="80">
        <v>32230</v>
      </c>
      <c r="BF15" s="80">
        <v>32250</v>
      </c>
      <c r="BG15" s="80">
        <v>32250</v>
      </c>
      <c r="BH15" s="80">
        <v>32230</v>
      </c>
      <c r="BI15" s="80">
        <v>32190</v>
      </c>
      <c r="BJ15" s="80">
        <v>32140</v>
      </c>
      <c r="BK15" s="80">
        <v>32080</v>
      </c>
      <c r="BL15" s="80">
        <v>32010</v>
      </c>
    </row>
    <row r="16" spans="1:64" x14ac:dyDescent="0.2">
      <c r="A16" s="28">
        <v>6</v>
      </c>
      <c r="B16" s="80">
        <v>28910</v>
      </c>
      <c r="C16" s="80">
        <v>28620</v>
      </c>
      <c r="D16" s="80">
        <v>27860</v>
      </c>
      <c r="E16" s="80">
        <v>27770</v>
      </c>
      <c r="F16" s="80">
        <v>28550</v>
      </c>
      <c r="G16" s="80">
        <v>28290</v>
      </c>
      <c r="H16" s="80">
        <v>28900</v>
      </c>
      <c r="I16" s="80">
        <v>30050</v>
      </c>
      <c r="J16" s="80">
        <v>31230</v>
      </c>
      <c r="K16" s="80">
        <v>30920</v>
      </c>
      <c r="L16" s="80">
        <v>31980</v>
      </c>
      <c r="M16" s="80">
        <v>31660</v>
      </c>
      <c r="N16" s="80">
        <v>31310</v>
      </c>
      <c r="O16" s="80">
        <v>30980</v>
      </c>
      <c r="P16" s="80">
        <v>30110</v>
      </c>
      <c r="Q16" s="80">
        <v>30070</v>
      </c>
      <c r="R16" s="80">
        <v>30060</v>
      </c>
      <c r="S16" s="80">
        <v>30520</v>
      </c>
      <c r="T16" s="80">
        <v>31090</v>
      </c>
      <c r="U16" s="80">
        <v>31600</v>
      </c>
      <c r="V16" s="80">
        <v>32030</v>
      </c>
      <c r="W16" s="80">
        <v>32380</v>
      </c>
      <c r="X16" s="80">
        <v>32610</v>
      </c>
      <c r="Y16" s="80">
        <v>32740</v>
      </c>
      <c r="Z16" s="80">
        <v>32810</v>
      </c>
      <c r="AA16" s="80">
        <v>32810</v>
      </c>
      <c r="AB16" s="80">
        <v>32750</v>
      </c>
      <c r="AC16" s="80">
        <v>32640</v>
      </c>
      <c r="AD16" s="80">
        <v>32480</v>
      </c>
      <c r="AE16" s="80">
        <v>32290</v>
      </c>
      <c r="AF16" s="80">
        <v>32070</v>
      </c>
      <c r="AG16" s="80">
        <v>31840</v>
      </c>
      <c r="AH16" s="80">
        <v>31610</v>
      </c>
      <c r="AI16" s="80">
        <v>31390</v>
      </c>
      <c r="AJ16" s="80">
        <v>31210</v>
      </c>
      <c r="AK16" s="80">
        <v>31070</v>
      </c>
      <c r="AL16" s="80">
        <v>30980</v>
      </c>
      <c r="AM16" s="80">
        <v>30940</v>
      </c>
      <c r="AN16" s="80">
        <v>30940</v>
      </c>
      <c r="AO16" s="80">
        <v>30990</v>
      </c>
      <c r="AP16" s="80">
        <v>31060</v>
      </c>
      <c r="AQ16" s="80">
        <v>31150</v>
      </c>
      <c r="AR16" s="80">
        <v>31240</v>
      </c>
      <c r="AS16" s="80">
        <v>31340</v>
      </c>
      <c r="AT16" s="80">
        <v>31440</v>
      </c>
      <c r="AU16" s="80">
        <v>31530</v>
      </c>
      <c r="AV16" s="80">
        <v>31620</v>
      </c>
      <c r="AW16" s="80">
        <v>31700</v>
      </c>
      <c r="AX16" s="80">
        <v>31770</v>
      </c>
      <c r="AY16" s="80">
        <v>31850</v>
      </c>
      <c r="AZ16" s="80">
        <v>31930</v>
      </c>
      <c r="BA16" s="80">
        <v>32000</v>
      </c>
      <c r="BB16" s="80">
        <v>32080</v>
      </c>
      <c r="BC16" s="80">
        <v>32140</v>
      </c>
      <c r="BD16" s="80">
        <v>32200</v>
      </c>
      <c r="BE16" s="80">
        <v>32250</v>
      </c>
      <c r="BF16" s="80">
        <v>32290</v>
      </c>
      <c r="BG16" s="80">
        <v>32310</v>
      </c>
      <c r="BH16" s="80">
        <v>32310</v>
      </c>
      <c r="BI16" s="80">
        <v>32290</v>
      </c>
      <c r="BJ16" s="80">
        <v>32250</v>
      </c>
      <c r="BK16" s="80">
        <v>32200</v>
      </c>
      <c r="BL16" s="80">
        <v>32140</v>
      </c>
    </row>
    <row r="17" spans="1:64" x14ac:dyDescent="0.2">
      <c r="A17" s="28">
        <v>7</v>
      </c>
      <c r="B17" s="80">
        <v>27980</v>
      </c>
      <c r="C17" s="80">
        <v>29160</v>
      </c>
      <c r="D17" s="80">
        <v>28760</v>
      </c>
      <c r="E17" s="80">
        <v>27990</v>
      </c>
      <c r="F17" s="80">
        <v>27850</v>
      </c>
      <c r="G17" s="80">
        <v>28600</v>
      </c>
      <c r="H17" s="80">
        <v>28200</v>
      </c>
      <c r="I17" s="80">
        <v>28790</v>
      </c>
      <c r="J17" s="80">
        <v>30110</v>
      </c>
      <c r="K17" s="80">
        <v>31380</v>
      </c>
      <c r="L17" s="80">
        <v>31190</v>
      </c>
      <c r="M17" s="80">
        <v>32210</v>
      </c>
      <c r="N17" s="80">
        <v>31850</v>
      </c>
      <c r="O17" s="80">
        <v>31460</v>
      </c>
      <c r="P17" s="80">
        <v>31110</v>
      </c>
      <c r="Q17" s="80">
        <v>30200</v>
      </c>
      <c r="R17" s="80">
        <v>30120</v>
      </c>
      <c r="S17" s="80">
        <v>30110</v>
      </c>
      <c r="T17" s="80">
        <v>30570</v>
      </c>
      <c r="U17" s="80">
        <v>31140</v>
      </c>
      <c r="V17" s="80">
        <v>31650</v>
      </c>
      <c r="W17" s="80">
        <v>32090</v>
      </c>
      <c r="X17" s="80">
        <v>32430</v>
      </c>
      <c r="Y17" s="80">
        <v>32660</v>
      </c>
      <c r="Z17" s="80">
        <v>32800</v>
      </c>
      <c r="AA17" s="80">
        <v>32870</v>
      </c>
      <c r="AB17" s="80">
        <v>32870</v>
      </c>
      <c r="AC17" s="80">
        <v>32810</v>
      </c>
      <c r="AD17" s="80">
        <v>32690</v>
      </c>
      <c r="AE17" s="80">
        <v>32540</v>
      </c>
      <c r="AF17" s="80">
        <v>32340</v>
      </c>
      <c r="AG17" s="80">
        <v>32120</v>
      </c>
      <c r="AH17" s="80">
        <v>31890</v>
      </c>
      <c r="AI17" s="80">
        <v>31660</v>
      </c>
      <c r="AJ17" s="80">
        <v>31450</v>
      </c>
      <c r="AK17" s="80">
        <v>31260</v>
      </c>
      <c r="AL17" s="80">
        <v>31120</v>
      </c>
      <c r="AM17" s="80">
        <v>31030</v>
      </c>
      <c r="AN17" s="80">
        <v>30990</v>
      </c>
      <c r="AO17" s="80">
        <v>31000</v>
      </c>
      <c r="AP17" s="80">
        <v>31040</v>
      </c>
      <c r="AQ17" s="80">
        <v>31110</v>
      </c>
      <c r="AR17" s="80">
        <v>31200</v>
      </c>
      <c r="AS17" s="80">
        <v>31300</v>
      </c>
      <c r="AT17" s="80">
        <v>31400</v>
      </c>
      <c r="AU17" s="80">
        <v>31490</v>
      </c>
      <c r="AV17" s="80">
        <v>31580</v>
      </c>
      <c r="AW17" s="80">
        <v>31670</v>
      </c>
      <c r="AX17" s="80">
        <v>31750</v>
      </c>
      <c r="AY17" s="80">
        <v>31830</v>
      </c>
      <c r="AZ17" s="80">
        <v>31910</v>
      </c>
      <c r="BA17" s="80">
        <v>31980</v>
      </c>
      <c r="BB17" s="80">
        <v>32060</v>
      </c>
      <c r="BC17" s="80">
        <v>32130</v>
      </c>
      <c r="BD17" s="80">
        <v>32200</v>
      </c>
      <c r="BE17" s="80">
        <v>32260</v>
      </c>
      <c r="BF17" s="80">
        <v>32310</v>
      </c>
      <c r="BG17" s="80">
        <v>32340</v>
      </c>
      <c r="BH17" s="80">
        <v>32360</v>
      </c>
      <c r="BI17" s="80">
        <v>32360</v>
      </c>
      <c r="BJ17" s="80">
        <v>32340</v>
      </c>
      <c r="BK17" s="80">
        <v>32310</v>
      </c>
      <c r="BL17" s="80">
        <v>32260</v>
      </c>
    </row>
    <row r="18" spans="1:64" x14ac:dyDescent="0.2">
      <c r="A18" s="28">
        <v>8</v>
      </c>
      <c r="B18" s="80">
        <v>28620</v>
      </c>
      <c r="C18" s="80">
        <v>28230</v>
      </c>
      <c r="D18" s="80">
        <v>29340</v>
      </c>
      <c r="E18" s="80">
        <v>28950</v>
      </c>
      <c r="F18" s="80">
        <v>28120</v>
      </c>
      <c r="G18" s="80">
        <v>27910</v>
      </c>
      <c r="H18" s="80">
        <v>28490</v>
      </c>
      <c r="I18" s="80">
        <v>28140</v>
      </c>
      <c r="J18" s="80">
        <v>28910</v>
      </c>
      <c r="K18" s="80">
        <v>30260</v>
      </c>
      <c r="L18" s="80">
        <v>31620</v>
      </c>
      <c r="M18" s="80">
        <v>31400</v>
      </c>
      <c r="N18" s="80">
        <v>32380</v>
      </c>
      <c r="O18" s="80">
        <v>32000</v>
      </c>
      <c r="P18" s="80">
        <v>31580</v>
      </c>
      <c r="Q18" s="80">
        <v>31190</v>
      </c>
      <c r="R18" s="80">
        <v>30250</v>
      </c>
      <c r="S18" s="80">
        <v>30180</v>
      </c>
      <c r="T18" s="80">
        <v>30160</v>
      </c>
      <c r="U18" s="80">
        <v>30630</v>
      </c>
      <c r="V18" s="80">
        <v>31200</v>
      </c>
      <c r="W18" s="80">
        <v>31710</v>
      </c>
      <c r="X18" s="80">
        <v>32140</v>
      </c>
      <c r="Y18" s="80">
        <v>32480</v>
      </c>
      <c r="Z18" s="80">
        <v>32710</v>
      </c>
      <c r="AA18" s="80">
        <v>32850</v>
      </c>
      <c r="AB18" s="80">
        <v>32920</v>
      </c>
      <c r="AC18" s="80">
        <v>32920</v>
      </c>
      <c r="AD18" s="80">
        <v>32860</v>
      </c>
      <c r="AE18" s="80">
        <v>32750</v>
      </c>
      <c r="AF18" s="80">
        <v>32590</v>
      </c>
      <c r="AG18" s="80">
        <v>32390</v>
      </c>
      <c r="AH18" s="80">
        <v>32170</v>
      </c>
      <c r="AI18" s="80">
        <v>31940</v>
      </c>
      <c r="AJ18" s="80">
        <v>31710</v>
      </c>
      <c r="AK18" s="80">
        <v>31500</v>
      </c>
      <c r="AL18" s="80">
        <v>31320</v>
      </c>
      <c r="AM18" s="80">
        <v>31180</v>
      </c>
      <c r="AN18" s="80">
        <v>31090</v>
      </c>
      <c r="AO18" s="80">
        <v>31050</v>
      </c>
      <c r="AP18" s="80">
        <v>31050</v>
      </c>
      <c r="AQ18" s="80">
        <v>31100</v>
      </c>
      <c r="AR18" s="80">
        <v>31170</v>
      </c>
      <c r="AS18" s="80">
        <v>31260</v>
      </c>
      <c r="AT18" s="80">
        <v>31350</v>
      </c>
      <c r="AU18" s="80">
        <v>31450</v>
      </c>
      <c r="AV18" s="80">
        <v>31550</v>
      </c>
      <c r="AW18" s="80">
        <v>31640</v>
      </c>
      <c r="AX18" s="80">
        <v>31720</v>
      </c>
      <c r="AY18" s="80">
        <v>31800</v>
      </c>
      <c r="AZ18" s="80">
        <v>31880</v>
      </c>
      <c r="BA18" s="80">
        <v>31960</v>
      </c>
      <c r="BB18" s="80">
        <v>32040</v>
      </c>
      <c r="BC18" s="80">
        <v>32110</v>
      </c>
      <c r="BD18" s="80">
        <v>32180</v>
      </c>
      <c r="BE18" s="80">
        <v>32250</v>
      </c>
      <c r="BF18" s="80">
        <v>32310</v>
      </c>
      <c r="BG18" s="80">
        <v>32360</v>
      </c>
      <c r="BH18" s="80">
        <v>32400</v>
      </c>
      <c r="BI18" s="80">
        <v>32420</v>
      </c>
      <c r="BJ18" s="80">
        <v>32420</v>
      </c>
      <c r="BK18" s="80">
        <v>32400</v>
      </c>
      <c r="BL18" s="80">
        <v>32360</v>
      </c>
    </row>
    <row r="19" spans="1:64" x14ac:dyDescent="0.2">
      <c r="A19" s="28">
        <v>9</v>
      </c>
      <c r="B19" s="80">
        <v>28770</v>
      </c>
      <c r="C19" s="80">
        <v>28910</v>
      </c>
      <c r="D19" s="80">
        <v>28390</v>
      </c>
      <c r="E19" s="80">
        <v>29550</v>
      </c>
      <c r="F19" s="80">
        <v>29150</v>
      </c>
      <c r="G19" s="80">
        <v>28210</v>
      </c>
      <c r="H19" s="80">
        <v>27850</v>
      </c>
      <c r="I19" s="80">
        <v>28430</v>
      </c>
      <c r="J19" s="80">
        <v>28240</v>
      </c>
      <c r="K19" s="80">
        <v>29060</v>
      </c>
      <c r="L19" s="80">
        <v>30490</v>
      </c>
      <c r="M19" s="80">
        <v>31830</v>
      </c>
      <c r="N19" s="80">
        <v>31570</v>
      </c>
      <c r="O19" s="80">
        <v>32530</v>
      </c>
      <c r="P19" s="80">
        <v>32110</v>
      </c>
      <c r="Q19" s="80">
        <v>31660</v>
      </c>
      <c r="R19" s="80">
        <v>31250</v>
      </c>
      <c r="S19" s="80">
        <v>30310</v>
      </c>
      <c r="T19" s="80">
        <v>30230</v>
      </c>
      <c r="U19" s="80">
        <v>30220</v>
      </c>
      <c r="V19" s="80">
        <v>30680</v>
      </c>
      <c r="W19" s="80">
        <v>31250</v>
      </c>
      <c r="X19" s="80">
        <v>31760</v>
      </c>
      <c r="Y19" s="80">
        <v>32200</v>
      </c>
      <c r="Z19" s="80">
        <v>32540</v>
      </c>
      <c r="AA19" s="80">
        <v>32770</v>
      </c>
      <c r="AB19" s="80">
        <v>32910</v>
      </c>
      <c r="AC19" s="80">
        <v>32980</v>
      </c>
      <c r="AD19" s="80">
        <v>32980</v>
      </c>
      <c r="AE19" s="80">
        <v>32920</v>
      </c>
      <c r="AF19" s="80">
        <v>32800</v>
      </c>
      <c r="AG19" s="80">
        <v>32650</v>
      </c>
      <c r="AH19" s="80">
        <v>32450</v>
      </c>
      <c r="AI19" s="80">
        <v>32230</v>
      </c>
      <c r="AJ19" s="80">
        <v>32000</v>
      </c>
      <c r="AK19" s="80">
        <v>31770</v>
      </c>
      <c r="AL19" s="80">
        <v>31560</v>
      </c>
      <c r="AM19" s="80">
        <v>31380</v>
      </c>
      <c r="AN19" s="80">
        <v>31230</v>
      </c>
      <c r="AO19" s="80">
        <v>31140</v>
      </c>
      <c r="AP19" s="80">
        <v>31100</v>
      </c>
      <c r="AQ19" s="80">
        <v>31110</v>
      </c>
      <c r="AR19" s="80">
        <v>31150</v>
      </c>
      <c r="AS19" s="80">
        <v>31230</v>
      </c>
      <c r="AT19" s="80">
        <v>31310</v>
      </c>
      <c r="AU19" s="80">
        <v>31410</v>
      </c>
      <c r="AV19" s="80">
        <v>31510</v>
      </c>
      <c r="AW19" s="80">
        <v>31610</v>
      </c>
      <c r="AX19" s="80">
        <v>31700</v>
      </c>
      <c r="AY19" s="80">
        <v>31780</v>
      </c>
      <c r="AZ19" s="80">
        <v>31860</v>
      </c>
      <c r="BA19" s="80">
        <v>31940</v>
      </c>
      <c r="BB19" s="80">
        <v>32020</v>
      </c>
      <c r="BC19" s="80">
        <v>32090</v>
      </c>
      <c r="BD19" s="80">
        <v>32170</v>
      </c>
      <c r="BE19" s="80">
        <v>32240</v>
      </c>
      <c r="BF19" s="80">
        <v>32310</v>
      </c>
      <c r="BG19" s="80">
        <v>32370</v>
      </c>
      <c r="BH19" s="80">
        <v>32420</v>
      </c>
      <c r="BI19" s="80">
        <v>32460</v>
      </c>
      <c r="BJ19" s="80">
        <v>32480</v>
      </c>
      <c r="BK19" s="80">
        <v>32470</v>
      </c>
      <c r="BL19" s="80">
        <v>32460</v>
      </c>
    </row>
    <row r="20" spans="1:64" x14ac:dyDescent="0.2">
      <c r="A20" s="28">
        <v>10</v>
      </c>
      <c r="B20" s="80">
        <v>29250</v>
      </c>
      <c r="C20" s="80">
        <v>28990</v>
      </c>
      <c r="D20" s="80">
        <v>29090</v>
      </c>
      <c r="E20" s="80">
        <v>28550</v>
      </c>
      <c r="F20" s="80">
        <v>29770</v>
      </c>
      <c r="G20" s="80">
        <v>29310</v>
      </c>
      <c r="H20" s="80">
        <v>28210</v>
      </c>
      <c r="I20" s="80">
        <v>27900</v>
      </c>
      <c r="J20" s="80">
        <v>28490</v>
      </c>
      <c r="K20" s="80">
        <v>28410</v>
      </c>
      <c r="L20" s="80">
        <v>29270</v>
      </c>
      <c r="M20" s="80">
        <v>30690</v>
      </c>
      <c r="N20" s="80">
        <v>32000</v>
      </c>
      <c r="O20" s="80">
        <v>31720</v>
      </c>
      <c r="P20" s="80">
        <v>32650</v>
      </c>
      <c r="Q20" s="80">
        <v>32200</v>
      </c>
      <c r="R20" s="80">
        <v>31730</v>
      </c>
      <c r="S20" s="80">
        <v>31310</v>
      </c>
      <c r="T20" s="80">
        <v>30370</v>
      </c>
      <c r="U20" s="80">
        <v>30290</v>
      </c>
      <c r="V20" s="80">
        <v>30280</v>
      </c>
      <c r="W20" s="80">
        <v>30750</v>
      </c>
      <c r="X20" s="80">
        <v>31320</v>
      </c>
      <c r="Y20" s="80">
        <v>31830</v>
      </c>
      <c r="Z20" s="80">
        <v>32260</v>
      </c>
      <c r="AA20" s="80">
        <v>32600</v>
      </c>
      <c r="AB20" s="80">
        <v>32830</v>
      </c>
      <c r="AC20" s="80">
        <v>32970</v>
      </c>
      <c r="AD20" s="80">
        <v>33040</v>
      </c>
      <c r="AE20" s="80">
        <v>33040</v>
      </c>
      <c r="AF20" s="80">
        <v>32980</v>
      </c>
      <c r="AG20" s="80">
        <v>32870</v>
      </c>
      <c r="AH20" s="80">
        <v>32710</v>
      </c>
      <c r="AI20" s="80">
        <v>32520</v>
      </c>
      <c r="AJ20" s="80">
        <v>32300</v>
      </c>
      <c r="AK20" s="80">
        <v>32060</v>
      </c>
      <c r="AL20" s="80">
        <v>31830</v>
      </c>
      <c r="AM20" s="80">
        <v>31620</v>
      </c>
      <c r="AN20" s="80">
        <v>31440</v>
      </c>
      <c r="AO20" s="80">
        <v>31300</v>
      </c>
      <c r="AP20" s="80">
        <v>31210</v>
      </c>
      <c r="AQ20" s="80">
        <v>31170</v>
      </c>
      <c r="AR20" s="80">
        <v>31170</v>
      </c>
      <c r="AS20" s="80">
        <v>31220</v>
      </c>
      <c r="AT20" s="80">
        <v>31290</v>
      </c>
      <c r="AU20" s="80">
        <v>31380</v>
      </c>
      <c r="AV20" s="80">
        <v>31470</v>
      </c>
      <c r="AW20" s="80">
        <v>31570</v>
      </c>
      <c r="AX20" s="80">
        <v>31670</v>
      </c>
      <c r="AY20" s="80">
        <v>31760</v>
      </c>
      <c r="AZ20" s="80">
        <v>31850</v>
      </c>
      <c r="BA20" s="80">
        <v>31930</v>
      </c>
      <c r="BB20" s="80">
        <v>32000</v>
      </c>
      <c r="BC20" s="80">
        <v>32080</v>
      </c>
      <c r="BD20" s="80">
        <v>32160</v>
      </c>
      <c r="BE20" s="80">
        <v>32230</v>
      </c>
      <c r="BF20" s="80">
        <v>32310</v>
      </c>
      <c r="BG20" s="80">
        <v>32370</v>
      </c>
      <c r="BH20" s="80">
        <v>32430</v>
      </c>
      <c r="BI20" s="80">
        <v>32480</v>
      </c>
      <c r="BJ20" s="80">
        <v>32520</v>
      </c>
      <c r="BK20" s="80">
        <v>32540</v>
      </c>
      <c r="BL20" s="80">
        <v>32540</v>
      </c>
    </row>
    <row r="21" spans="1:64" x14ac:dyDescent="0.2">
      <c r="A21" s="28">
        <v>11</v>
      </c>
      <c r="B21" s="80">
        <v>29970</v>
      </c>
      <c r="C21" s="80">
        <v>29430</v>
      </c>
      <c r="D21" s="80">
        <v>29180</v>
      </c>
      <c r="E21" s="80">
        <v>29270</v>
      </c>
      <c r="F21" s="80">
        <v>28700</v>
      </c>
      <c r="G21" s="80">
        <v>29880</v>
      </c>
      <c r="H21" s="80">
        <v>29380</v>
      </c>
      <c r="I21" s="80">
        <v>28280</v>
      </c>
      <c r="J21" s="80">
        <v>27980</v>
      </c>
      <c r="K21" s="80">
        <v>28620</v>
      </c>
      <c r="L21" s="80">
        <v>28660</v>
      </c>
      <c r="M21" s="80">
        <v>29480</v>
      </c>
      <c r="N21" s="80">
        <v>30870</v>
      </c>
      <c r="O21" s="80">
        <v>32150</v>
      </c>
      <c r="P21" s="80">
        <v>31840</v>
      </c>
      <c r="Q21" s="80">
        <v>32750</v>
      </c>
      <c r="R21" s="80">
        <v>32270</v>
      </c>
      <c r="S21" s="80">
        <v>31790</v>
      </c>
      <c r="T21" s="80">
        <v>31380</v>
      </c>
      <c r="U21" s="80">
        <v>30440</v>
      </c>
      <c r="V21" s="80">
        <v>30360</v>
      </c>
      <c r="W21" s="80">
        <v>30350</v>
      </c>
      <c r="X21" s="80">
        <v>30820</v>
      </c>
      <c r="Y21" s="80">
        <v>31380</v>
      </c>
      <c r="Z21" s="80">
        <v>31890</v>
      </c>
      <c r="AA21" s="80">
        <v>32330</v>
      </c>
      <c r="AB21" s="80">
        <v>32670</v>
      </c>
      <c r="AC21" s="80">
        <v>32900</v>
      </c>
      <c r="AD21" s="80">
        <v>33040</v>
      </c>
      <c r="AE21" s="80">
        <v>33110</v>
      </c>
      <c r="AF21" s="80">
        <v>33110</v>
      </c>
      <c r="AG21" s="80">
        <v>33050</v>
      </c>
      <c r="AH21" s="80">
        <v>32940</v>
      </c>
      <c r="AI21" s="80">
        <v>32780</v>
      </c>
      <c r="AJ21" s="80">
        <v>32580</v>
      </c>
      <c r="AK21" s="80">
        <v>32370</v>
      </c>
      <c r="AL21" s="80">
        <v>32130</v>
      </c>
      <c r="AM21" s="80">
        <v>31900</v>
      </c>
      <c r="AN21" s="80">
        <v>31690</v>
      </c>
      <c r="AO21" s="80">
        <v>31510</v>
      </c>
      <c r="AP21" s="80">
        <v>31370</v>
      </c>
      <c r="AQ21" s="80">
        <v>31280</v>
      </c>
      <c r="AR21" s="80">
        <v>31240</v>
      </c>
      <c r="AS21" s="80">
        <v>31240</v>
      </c>
      <c r="AT21" s="80">
        <v>31290</v>
      </c>
      <c r="AU21" s="80">
        <v>31360</v>
      </c>
      <c r="AV21" s="80">
        <v>31450</v>
      </c>
      <c r="AW21" s="80">
        <v>31540</v>
      </c>
      <c r="AX21" s="80">
        <v>31640</v>
      </c>
      <c r="AY21" s="80">
        <v>31740</v>
      </c>
      <c r="AZ21" s="80">
        <v>31830</v>
      </c>
      <c r="BA21" s="80">
        <v>31920</v>
      </c>
      <c r="BB21" s="80">
        <v>32000</v>
      </c>
      <c r="BC21" s="80">
        <v>32070</v>
      </c>
      <c r="BD21" s="80">
        <v>32150</v>
      </c>
      <c r="BE21" s="80">
        <v>32230</v>
      </c>
      <c r="BF21" s="80">
        <v>32300</v>
      </c>
      <c r="BG21" s="80">
        <v>32380</v>
      </c>
      <c r="BH21" s="80">
        <v>32440</v>
      </c>
      <c r="BI21" s="80">
        <v>32510</v>
      </c>
      <c r="BJ21" s="80">
        <v>32550</v>
      </c>
      <c r="BK21" s="80">
        <v>32590</v>
      </c>
      <c r="BL21" s="80">
        <v>32610</v>
      </c>
    </row>
    <row r="22" spans="1:64" x14ac:dyDescent="0.2">
      <c r="A22" s="28">
        <v>12</v>
      </c>
      <c r="B22" s="80">
        <v>29990</v>
      </c>
      <c r="C22" s="80">
        <v>30090</v>
      </c>
      <c r="D22" s="80">
        <v>29510</v>
      </c>
      <c r="E22" s="80">
        <v>29370</v>
      </c>
      <c r="F22" s="80">
        <v>29520</v>
      </c>
      <c r="G22" s="80">
        <v>28870</v>
      </c>
      <c r="H22" s="80">
        <v>29910</v>
      </c>
      <c r="I22" s="80">
        <v>29480</v>
      </c>
      <c r="J22" s="80">
        <v>28340</v>
      </c>
      <c r="K22" s="80">
        <v>28170</v>
      </c>
      <c r="L22" s="80">
        <v>28850</v>
      </c>
      <c r="M22" s="80">
        <v>28860</v>
      </c>
      <c r="N22" s="80">
        <v>29650</v>
      </c>
      <c r="O22" s="80">
        <v>31020</v>
      </c>
      <c r="P22" s="80">
        <v>32280</v>
      </c>
      <c r="Q22" s="80">
        <v>31940</v>
      </c>
      <c r="R22" s="80">
        <v>32820</v>
      </c>
      <c r="S22" s="80">
        <v>32350</v>
      </c>
      <c r="T22" s="80">
        <v>31870</v>
      </c>
      <c r="U22" s="80">
        <v>31450</v>
      </c>
      <c r="V22" s="80">
        <v>30510</v>
      </c>
      <c r="W22" s="80">
        <v>30440</v>
      </c>
      <c r="X22" s="80">
        <v>30420</v>
      </c>
      <c r="Y22" s="80">
        <v>30890</v>
      </c>
      <c r="Z22" s="80">
        <v>31460</v>
      </c>
      <c r="AA22" s="80">
        <v>31970</v>
      </c>
      <c r="AB22" s="80">
        <v>32400</v>
      </c>
      <c r="AC22" s="80">
        <v>32740</v>
      </c>
      <c r="AD22" s="80">
        <v>32970</v>
      </c>
      <c r="AE22" s="80">
        <v>33110</v>
      </c>
      <c r="AF22" s="80">
        <v>33180</v>
      </c>
      <c r="AG22" s="80">
        <v>33180</v>
      </c>
      <c r="AH22" s="80">
        <v>33120</v>
      </c>
      <c r="AI22" s="80">
        <v>33010</v>
      </c>
      <c r="AJ22" s="80">
        <v>32850</v>
      </c>
      <c r="AK22" s="80">
        <v>32660</v>
      </c>
      <c r="AL22" s="80">
        <v>32440</v>
      </c>
      <c r="AM22" s="80">
        <v>32210</v>
      </c>
      <c r="AN22" s="80">
        <v>31980</v>
      </c>
      <c r="AO22" s="80">
        <v>31760</v>
      </c>
      <c r="AP22" s="80">
        <v>31580</v>
      </c>
      <c r="AQ22" s="80">
        <v>31440</v>
      </c>
      <c r="AR22" s="80">
        <v>31350</v>
      </c>
      <c r="AS22" s="80">
        <v>31310</v>
      </c>
      <c r="AT22" s="80">
        <v>31320</v>
      </c>
      <c r="AU22" s="80">
        <v>31360</v>
      </c>
      <c r="AV22" s="80">
        <v>31430</v>
      </c>
      <c r="AW22" s="80">
        <v>31520</v>
      </c>
      <c r="AX22" s="80">
        <v>31620</v>
      </c>
      <c r="AY22" s="80">
        <v>31720</v>
      </c>
      <c r="AZ22" s="80">
        <v>31810</v>
      </c>
      <c r="BA22" s="80">
        <v>31900</v>
      </c>
      <c r="BB22" s="80">
        <v>31990</v>
      </c>
      <c r="BC22" s="80">
        <v>32070</v>
      </c>
      <c r="BD22" s="80">
        <v>32150</v>
      </c>
      <c r="BE22" s="80">
        <v>32230</v>
      </c>
      <c r="BF22" s="80">
        <v>32300</v>
      </c>
      <c r="BG22" s="80">
        <v>32380</v>
      </c>
      <c r="BH22" s="80">
        <v>32450</v>
      </c>
      <c r="BI22" s="80">
        <v>32520</v>
      </c>
      <c r="BJ22" s="80">
        <v>32580</v>
      </c>
      <c r="BK22" s="80">
        <v>32630</v>
      </c>
      <c r="BL22" s="80">
        <v>32670</v>
      </c>
    </row>
    <row r="23" spans="1:64" x14ac:dyDescent="0.2">
      <c r="A23" s="28">
        <v>13</v>
      </c>
      <c r="B23" s="80">
        <v>30750</v>
      </c>
      <c r="C23" s="80">
        <v>30090</v>
      </c>
      <c r="D23" s="80">
        <v>30120</v>
      </c>
      <c r="E23" s="80">
        <v>29630</v>
      </c>
      <c r="F23" s="80">
        <v>29590</v>
      </c>
      <c r="G23" s="80">
        <v>29630</v>
      </c>
      <c r="H23" s="80">
        <v>28910</v>
      </c>
      <c r="I23" s="80">
        <v>29930</v>
      </c>
      <c r="J23" s="80">
        <v>29550</v>
      </c>
      <c r="K23" s="80">
        <v>28500</v>
      </c>
      <c r="L23" s="80">
        <v>28370</v>
      </c>
      <c r="M23" s="80">
        <v>29050</v>
      </c>
      <c r="N23" s="80">
        <v>29040</v>
      </c>
      <c r="O23" s="80">
        <v>29810</v>
      </c>
      <c r="P23" s="80">
        <v>31150</v>
      </c>
      <c r="Q23" s="80">
        <v>32380</v>
      </c>
      <c r="R23" s="80">
        <v>32020</v>
      </c>
      <c r="S23" s="80">
        <v>32900</v>
      </c>
      <c r="T23" s="80">
        <v>32420</v>
      </c>
      <c r="U23" s="80">
        <v>31950</v>
      </c>
      <c r="V23" s="80">
        <v>31530</v>
      </c>
      <c r="W23" s="80">
        <v>30590</v>
      </c>
      <c r="X23" s="80">
        <v>30520</v>
      </c>
      <c r="Y23" s="80">
        <v>30500</v>
      </c>
      <c r="Z23" s="80">
        <v>30970</v>
      </c>
      <c r="AA23" s="80">
        <v>31540</v>
      </c>
      <c r="AB23" s="80">
        <v>32050</v>
      </c>
      <c r="AC23" s="80">
        <v>32480</v>
      </c>
      <c r="AD23" s="80">
        <v>32820</v>
      </c>
      <c r="AE23" s="80">
        <v>33050</v>
      </c>
      <c r="AF23" s="80">
        <v>33190</v>
      </c>
      <c r="AG23" s="80">
        <v>33260</v>
      </c>
      <c r="AH23" s="80">
        <v>33260</v>
      </c>
      <c r="AI23" s="80">
        <v>33200</v>
      </c>
      <c r="AJ23" s="80">
        <v>33090</v>
      </c>
      <c r="AK23" s="80">
        <v>32930</v>
      </c>
      <c r="AL23" s="80">
        <v>32740</v>
      </c>
      <c r="AM23" s="80">
        <v>32520</v>
      </c>
      <c r="AN23" s="80">
        <v>32290</v>
      </c>
      <c r="AO23" s="80">
        <v>32060</v>
      </c>
      <c r="AP23" s="80">
        <v>31840</v>
      </c>
      <c r="AQ23" s="80">
        <v>31660</v>
      </c>
      <c r="AR23" s="80">
        <v>31520</v>
      </c>
      <c r="AS23" s="80">
        <v>31430</v>
      </c>
      <c r="AT23" s="80">
        <v>31390</v>
      </c>
      <c r="AU23" s="80">
        <v>31400</v>
      </c>
      <c r="AV23" s="80">
        <v>31440</v>
      </c>
      <c r="AW23" s="80">
        <v>31510</v>
      </c>
      <c r="AX23" s="80">
        <v>31600</v>
      </c>
      <c r="AY23" s="80">
        <v>31700</v>
      </c>
      <c r="AZ23" s="80">
        <v>31800</v>
      </c>
      <c r="BA23" s="80">
        <v>31890</v>
      </c>
      <c r="BB23" s="80">
        <v>31980</v>
      </c>
      <c r="BC23" s="80">
        <v>32070</v>
      </c>
      <c r="BD23" s="80">
        <v>32150</v>
      </c>
      <c r="BE23" s="80">
        <v>32230</v>
      </c>
      <c r="BF23" s="80">
        <v>32310</v>
      </c>
      <c r="BG23" s="80">
        <v>32380</v>
      </c>
      <c r="BH23" s="80">
        <v>32460</v>
      </c>
      <c r="BI23" s="80">
        <v>32530</v>
      </c>
      <c r="BJ23" s="80">
        <v>32600</v>
      </c>
      <c r="BK23" s="80">
        <v>32660</v>
      </c>
      <c r="BL23" s="80">
        <v>32710</v>
      </c>
    </row>
    <row r="24" spans="1:64" x14ac:dyDescent="0.2">
      <c r="A24" s="28">
        <v>14</v>
      </c>
      <c r="B24" s="80">
        <v>30960</v>
      </c>
      <c r="C24" s="80">
        <v>30780</v>
      </c>
      <c r="D24" s="80">
        <v>30110</v>
      </c>
      <c r="E24" s="80">
        <v>30170</v>
      </c>
      <c r="F24" s="80">
        <v>29830</v>
      </c>
      <c r="G24" s="80">
        <v>29790</v>
      </c>
      <c r="H24" s="80">
        <v>29700</v>
      </c>
      <c r="I24" s="80">
        <v>29000</v>
      </c>
      <c r="J24" s="80">
        <v>30010</v>
      </c>
      <c r="K24" s="80">
        <v>29690</v>
      </c>
      <c r="L24" s="80">
        <v>28690</v>
      </c>
      <c r="M24" s="80">
        <v>28610</v>
      </c>
      <c r="N24" s="80">
        <v>29260</v>
      </c>
      <c r="O24" s="80">
        <v>29220</v>
      </c>
      <c r="P24" s="80">
        <v>29960</v>
      </c>
      <c r="Q24" s="80">
        <v>31280</v>
      </c>
      <c r="R24" s="80">
        <v>32490</v>
      </c>
      <c r="S24" s="80">
        <v>32130</v>
      </c>
      <c r="T24" s="80">
        <v>33000</v>
      </c>
      <c r="U24" s="80">
        <v>32530</v>
      </c>
      <c r="V24" s="80">
        <v>32050</v>
      </c>
      <c r="W24" s="80">
        <v>31640</v>
      </c>
      <c r="X24" s="80">
        <v>30700</v>
      </c>
      <c r="Y24" s="80">
        <v>30620</v>
      </c>
      <c r="Z24" s="80">
        <v>30610</v>
      </c>
      <c r="AA24" s="80">
        <v>31080</v>
      </c>
      <c r="AB24" s="80">
        <v>31640</v>
      </c>
      <c r="AC24" s="80">
        <v>32150</v>
      </c>
      <c r="AD24" s="80">
        <v>32590</v>
      </c>
      <c r="AE24" s="80">
        <v>32930</v>
      </c>
      <c r="AF24" s="80">
        <v>33160</v>
      </c>
      <c r="AG24" s="80">
        <v>33300</v>
      </c>
      <c r="AH24" s="80">
        <v>33370</v>
      </c>
      <c r="AI24" s="80">
        <v>33370</v>
      </c>
      <c r="AJ24" s="80">
        <v>33310</v>
      </c>
      <c r="AK24" s="80">
        <v>33200</v>
      </c>
      <c r="AL24" s="80">
        <v>33040</v>
      </c>
      <c r="AM24" s="80">
        <v>32850</v>
      </c>
      <c r="AN24" s="80">
        <v>32630</v>
      </c>
      <c r="AO24" s="80">
        <v>32400</v>
      </c>
      <c r="AP24" s="80">
        <v>32170</v>
      </c>
      <c r="AQ24" s="80">
        <v>31950</v>
      </c>
      <c r="AR24" s="80">
        <v>31770</v>
      </c>
      <c r="AS24" s="80">
        <v>31630</v>
      </c>
      <c r="AT24" s="80">
        <v>31540</v>
      </c>
      <c r="AU24" s="80">
        <v>31500</v>
      </c>
      <c r="AV24" s="80">
        <v>31510</v>
      </c>
      <c r="AW24" s="80">
        <v>31550</v>
      </c>
      <c r="AX24" s="80">
        <v>31620</v>
      </c>
      <c r="AY24" s="80">
        <v>31710</v>
      </c>
      <c r="AZ24" s="80">
        <v>31810</v>
      </c>
      <c r="BA24" s="80">
        <v>31910</v>
      </c>
      <c r="BB24" s="80">
        <v>32000</v>
      </c>
      <c r="BC24" s="80">
        <v>32090</v>
      </c>
      <c r="BD24" s="80">
        <v>32180</v>
      </c>
      <c r="BE24" s="80">
        <v>32260</v>
      </c>
      <c r="BF24" s="80">
        <v>32340</v>
      </c>
      <c r="BG24" s="80">
        <v>32420</v>
      </c>
      <c r="BH24" s="80">
        <v>32490</v>
      </c>
      <c r="BI24" s="80">
        <v>32570</v>
      </c>
      <c r="BJ24" s="80">
        <v>32640</v>
      </c>
      <c r="BK24" s="80">
        <v>32710</v>
      </c>
      <c r="BL24" s="80">
        <v>32770</v>
      </c>
    </row>
    <row r="25" spans="1:64" x14ac:dyDescent="0.2">
      <c r="A25" s="28">
        <v>15</v>
      </c>
      <c r="B25" s="80">
        <v>32030</v>
      </c>
      <c r="C25" s="80">
        <v>31100</v>
      </c>
      <c r="D25" s="80">
        <v>30870</v>
      </c>
      <c r="E25" s="80">
        <v>30230</v>
      </c>
      <c r="F25" s="80">
        <v>30410</v>
      </c>
      <c r="G25" s="80">
        <v>29940</v>
      </c>
      <c r="H25" s="80">
        <v>30020</v>
      </c>
      <c r="I25" s="80">
        <v>29930</v>
      </c>
      <c r="J25" s="80">
        <v>29180</v>
      </c>
      <c r="K25" s="80">
        <v>30280</v>
      </c>
      <c r="L25" s="80">
        <v>30080</v>
      </c>
      <c r="M25" s="80">
        <v>29040</v>
      </c>
      <c r="N25" s="80">
        <v>28920</v>
      </c>
      <c r="O25" s="80">
        <v>29540</v>
      </c>
      <c r="P25" s="80">
        <v>29480</v>
      </c>
      <c r="Q25" s="80">
        <v>30190</v>
      </c>
      <c r="R25" s="80">
        <v>31480</v>
      </c>
      <c r="S25" s="80">
        <v>32680</v>
      </c>
      <c r="T25" s="80">
        <v>32320</v>
      </c>
      <c r="U25" s="80">
        <v>33200</v>
      </c>
      <c r="V25" s="80">
        <v>32730</v>
      </c>
      <c r="W25" s="80">
        <v>32250</v>
      </c>
      <c r="X25" s="80">
        <v>31830</v>
      </c>
      <c r="Y25" s="80">
        <v>30890</v>
      </c>
      <c r="Z25" s="80">
        <v>30820</v>
      </c>
      <c r="AA25" s="80">
        <v>30810</v>
      </c>
      <c r="AB25" s="80">
        <v>31270</v>
      </c>
      <c r="AC25" s="80">
        <v>31840</v>
      </c>
      <c r="AD25" s="80">
        <v>32350</v>
      </c>
      <c r="AE25" s="80">
        <v>32780</v>
      </c>
      <c r="AF25" s="80">
        <v>33130</v>
      </c>
      <c r="AG25" s="80">
        <v>33360</v>
      </c>
      <c r="AH25" s="80">
        <v>33500</v>
      </c>
      <c r="AI25" s="80">
        <v>33560</v>
      </c>
      <c r="AJ25" s="80">
        <v>33570</v>
      </c>
      <c r="AK25" s="80">
        <v>33510</v>
      </c>
      <c r="AL25" s="80">
        <v>33390</v>
      </c>
      <c r="AM25" s="80">
        <v>33240</v>
      </c>
      <c r="AN25" s="80">
        <v>33040</v>
      </c>
      <c r="AO25" s="80">
        <v>32820</v>
      </c>
      <c r="AP25" s="80">
        <v>32590</v>
      </c>
      <c r="AQ25" s="80">
        <v>32360</v>
      </c>
      <c r="AR25" s="80">
        <v>32150</v>
      </c>
      <c r="AS25" s="80">
        <v>31970</v>
      </c>
      <c r="AT25" s="80">
        <v>31830</v>
      </c>
      <c r="AU25" s="80">
        <v>31740</v>
      </c>
      <c r="AV25" s="80">
        <v>31700</v>
      </c>
      <c r="AW25" s="80">
        <v>31700</v>
      </c>
      <c r="AX25" s="80">
        <v>31750</v>
      </c>
      <c r="AY25" s="80">
        <v>31820</v>
      </c>
      <c r="AZ25" s="80">
        <v>31910</v>
      </c>
      <c r="BA25" s="80">
        <v>32010</v>
      </c>
      <c r="BB25" s="80">
        <v>32100</v>
      </c>
      <c r="BC25" s="80">
        <v>32200</v>
      </c>
      <c r="BD25" s="80">
        <v>32290</v>
      </c>
      <c r="BE25" s="80">
        <v>32380</v>
      </c>
      <c r="BF25" s="80">
        <v>32460</v>
      </c>
      <c r="BG25" s="80">
        <v>32540</v>
      </c>
      <c r="BH25" s="80">
        <v>32610</v>
      </c>
      <c r="BI25" s="80">
        <v>32690</v>
      </c>
      <c r="BJ25" s="80">
        <v>32770</v>
      </c>
      <c r="BK25" s="80">
        <v>32840</v>
      </c>
      <c r="BL25" s="80">
        <v>32910</v>
      </c>
    </row>
    <row r="26" spans="1:64" x14ac:dyDescent="0.2">
      <c r="A26" s="28">
        <v>16</v>
      </c>
      <c r="B26" s="80">
        <v>31990</v>
      </c>
      <c r="C26" s="80">
        <v>32170</v>
      </c>
      <c r="D26" s="80">
        <v>31150</v>
      </c>
      <c r="E26" s="80">
        <v>31080</v>
      </c>
      <c r="F26" s="80">
        <v>30550</v>
      </c>
      <c r="G26" s="80">
        <v>30730</v>
      </c>
      <c r="H26" s="80">
        <v>30160</v>
      </c>
      <c r="I26" s="80">
        <v>30350</v>
      </c>
      <c r="J26" s="80">
        <v>30280</v>
      </c>
      <c r="K26" s="80">
        <v>29630</v>
      </c>
      <c r="L26" s="80">
        <v>30850</v>
      </c>
      <c r="M26" s="80">
        <v>30530</v>
      </c>
      <c r="N26" s="80">
        <v>29460</v>
      </c>
      <c r="O26" s="80">
        <v>29310</v>
      </c>
      <c r="P26" s="80">
        <v>29900</v>
      </c>
      <c r="Q26" s="80">
        <v>29800</v>
      </c>
      <c r="R26" s="80">
        <v>30480</v>
      </c>
      <c r="S26" s="80">
        <v>31770</v>
      </c>
      <c r="T26" s="80">
        <v>32970</v>
      </c>
      <c r="U26" s="80">
        <v>32610</v>
      </c>
      <c r="V26" s="80">
        <v>33490</v>
      </c>
      <c r="W26" s="80">
        <v>33020</v>
      </c>
      <c r="X26" s="80">
        <v>32540</v>
      </c>
      <c r="Y26" s="80">
        <v>32120</v>
      </c>
      <c r="Z26" s="80">
        <v>31190</v>
      </c>
      <c r="AA26" s="80">
        <v>31110</v>
      </c>
      <c r="AB26" s="80">
        <v>31100</v>
      </c>
      <c r="AC26" s="80">
        <v>31560</v>
      </c>
      <c r="AD26" s="80">
        <v>32130</v>
      </c>
      <c r="AE26" s="80">
        <v>32640</v>
      </c>
      <c r="AF26" s="80">
        <v>33080</v>
      </c>
      <c r="AG26" s="80">
        <v>33420</v>
      </c>
      <c r="AH26" s="80">
        <v>33650</v>
      </c>
      <c r="AI26" s="80">
        <v>33790</v>
      </c>
      <c r="AJ26" s="80">
        <v>33860</v>
      </c>
      <c r="AK26" s="80">
        <v>33860</v>
      </c>
      <c r="AL26" s="80">
        <v>33800</v>
      </c>
      <c r="AM26" s="80">
        <v>33690</v>
      </c>
      <c r="AN26" s="80">
        <v>33530</v>
      </c>
      <c r="AO26" s="80">
        <v>33340</v>
      </c>
      <c r="AP26" s="80">
        <v>33120</v>
      </c>
      <c r="AQ26" s="80">
        <v>32890</v>
      </c>
      <c r="AR26" s="80">
        <v>32660</v>
      </c>
      <c r="AS26" s="80">
        <v>32440</v>
      </c>
      <c r="AT26" s="80">
        <v>32260</v>
      </c>
      <c r="AU26" s="80">
        <v>32120</v>
      </c>
      <c r="AV26" s="80">
        <v>32030</v>
      </c>
      <c r="AW26" s="80">
        <v>31990</v>
      </c>
      <c r="AX26" s="80">
        <v>32000</v>
      </c>
      <c r="AY26" s="80">
        <v>32040</v>
      </c>
      <c r="AZ26" s="80">
        <v>32120</v>
      </c>
      <c r="BA26" s="80">
        <v>32200</v>
      </c>
      <c r="BB26" s="80">
        <v>32300</v>
      </c>
      <c r="BC26" s="80">
        <v>32400</v>
      </c>
      <c r="BD26" s="80">
        <v>32500</v>
      </c>
      <c r="BE26" s="80">
        <v>32590</v>
      </c>
      <c r="BF26" s="80">
        <v>32670</v>
      </c>
      <c r="BG26" s="80">
        <v>32750</v>
      </c>
      <c r="BH26" s="80">
        <v>32830</v>
      </c>
      <c r="BI26" s="80">
        <v>32910</v>
      </c>
      <c r="BJ26" s="80">
        <v>32990</v>
      </c>
      <c r="BK26" s="80">
        <v>33060</v>
      </c>
      <c r="BL26" s="80">
        <v>33140</v>
      </c>
    </row>
    <row r="27" spans="1:64" x14ac:dyDescent="0.2">
      <c r="A27" s="28">
        <v>17</v>
      </c>
      <c r="B27" s="80">
        <v>30880</v>
      </c>
      <c r="C27" s="80">
        <v>32080</v>
      </c>
      <c r="D27" s="80">
        <v>32330</v>
      </c>
      <c r="E27" s="80">
        <v>31430</v>
      </c>
      <c r="F27" s="80">
        <v>31420</v>
      </c>
      <c r="G27" s="80">
        <v>30830</v>
      </c>
      <c r="H27" s="80">
        <v>30890</v>
      </c>
      <c r="I27" s="80">
        <v>30440</v>
      </c>
      <c r="J27" s="80">
        <v>30720</v>
      </c>
      <c r="K27" s="80">
        <v>30750</v>
      </c>
      <c r="L27" s="80">
        <v>30110</v>
      </c>
      <c r="M27" s="80">
        <v>31340</v>
      </c>
      <c r="N27" s="80">
        <v>30980</v>
      </c>
      <c r="O27" s="80">
        <v>29870</v>
      </c>
      <c r="P27" s="80">
        <v>29690</v>
      </c>
      <c r="Q27" s="80">
        <v>30240</v>
      </c>
      <c r="R27" s="80">
        <v>30110</v>
      </c>
      <c r="S27" s="80">
        <v>30790</v>
      </c>
      <c r="T27" s="80">
        <v>32080</v>
      </c>
      <c r="U27" s="80">
        <v>33280</v>
      </c>
      <c r="V27" s="80">
        <v>32920</v>
      </c>
      <c r="W27" s="80">
        <v>33800</v>
      </c>
      <c r="X27" s="80">
        <v>33330</v>
      </c>
      <c r="Y27" s="80">
        <v>32850</v>
      </c>
      <c r="Z27" s="80">
        <v>32430</v>
      </c>
      <c r="AA27" s="80">
        <v>31500</v>
      </c>
      <c r="AB27" s="80">
        <v>31420</v>
      </c>
      <c r="AC27" s="80">
        <v>31410</v>
      </c>
      <c r="AD27" s="80">
        <v>31880</v>
      </c>
      <c r="AE27" s="80">
        <v>32440</v>
      </c>
      <c r="AF27" s="80">
        <v>32950</v>
      </c>
      <c r="AG27" s="80">
        <v>33390</v>
      </c>
      <c r="AH27" s="80">
        <v>33730</v>
      </c>
      <c r="AI27" s="80">
        <v>33960</v>
      </c>
      <c r="AJ27" s="80">
        <v>34100</v>
      </c>
      <c r="AK27" s="80">
        <v>34170</v>
      </c>
      <c r="AL27" s="80">
        <v>34170</v>
      </c>
      <c r="AM27" s="80">
        <v>34110</v>
      </c>
      <c r="AN27" s="80">
        <v>34000</v>
      </c>
      <c r="AO27" s="80">
        <v>33840</v>
      </c>
      <c r="AP27" s="80">
        <v>33650</v>
      </c>
      <c r="AQ27" s="80">
        <v>33430</v>
      </c>
      <c r="AR27" s="80">
        <v>33200</v>
      </c>
      <c r="AS27" s="80">
        <v>32970</v>
      </c>
      <c r="AT27" s="80">
        <v>32760</v>
      </c>
      <c r="AU27" s="80">
        <v>32580</v>
      </c>
      <c r="AV27" s="80">
        <v>32440</v>
      </c>
      <c r="AW27" s="80">
        <v>32350</v>
      </c>
      <c r="AX27" s="80">
        <v>32310</v>
      </c>
      <c r="AY27" s="80">
        <v>32310</v>
      </c>
      <c r="AZ27" s="80">
        <v>32360</v>
      </c>
      <c r="BA27" s="80">
        <v>32430</v>
      </c>
      <c r="BB27" s="80">
        <v>32520</v>
      </c>
      <c r="BC27" s="80">
        <v>32610</v>
      </c>
      <c r="BD27" s="80">
        <v>32710</v>
      </c>
      <c r="BE27" s="80">
        <v>32810</v>
      </c>
      <c r="BF27" s="80">
        <v>32900</v>
      </c>
      <c r="BG27" s="80">
        <v>32990</v>
      </c>
      <c r="BH27" s="80">
        <v>33070</v>
      </c>
      <c r="BI27" s="80">
        <v>33150</v>
      </c>
      <c r="BJ27" s="80">
        <v>33220</v>
      </c>
      <c r="BK27" s="80">
        <v>33300</v>
      </c>
      <c r="BL27" s="80">
        <v>33380</v>
      </c>
    </row>
    <row r="28" spans="1:64" x14ac:dyDescent="0.2">
      <c r="A28" s="28">
        <v>18</v>
      </c>
      <c r="B28" s="80">
        <v>30180</v>
      </c>
      <c r="C28" s="80">
        <v>30570</v>
      </c>
      <c r="D28" s="80">
        <v>31740</v>
      </c>
      <c r="E28" s="80">
        <v>32180</v>
      </c>
      <c r="F28" s="80">
        <v>31390</v>
      </c>
      <c r="G28" s="80">
        <v>31250</v>
      </c>
      <c r="H28" s="80">
        <v>30590</v>
      </c>
      <c r="I28" s="80">
        <v>30770</v>
      </c>
      <c r="J28" s="80">
        <v>30600</v>
      </c>
      <c r="K28" s="80">
        <v>31160</v>
      </c>
      <c r="L28" s="80">
        <v>31170</v>
      </c>
      <c r="M28" s="80">
        <v>30760</v>
      </c>
      <c r="N28" s="80">
        <v>31910</v>
      </c>
      <c r="O28" s="80">
        <v>31490</v>
      </c>
      <c r="P28" s="80">
        <v>30310</v>
      </c>
      <c r="Q28" s="80">
        <v>30060</v>
      </c>
      <c r="R28" s="80">
        <v>30540</v>
      </c>
      <c r="S28" s="80">
        <v>30410</v>
      </c>
      <c r="T28" s="80">
        <v>31090</v>
      </c>
      <c r="U28" s="80">
        <v>32380</v>
      </c>
      <c r="V28" s="80">
        <v>33590</v>
      </c>
      <c r="W28" s="80">
        <v>33230</v>
      </c>
      <c r="X28" s="80">
        <v>34100</v>
      </c>
      <c r="Y28" s="80">
        <v>33630</v>
      </c>
      <c r="Z28" s="80">
        <v>33150</v>
      </c>
      <c r="AA28" s="80">
        <v>32740</v>
      </c>
      <c r="AB28" s="80">
        <v>31800</v>
      </c>
      <c r="AC28" s="80">
        <v>31730</v>
      </c>
      <c r="AD28" s="80">
        <v>31710</v>
      </c>
      <c r="AE28" s="80">
        <v>32180</v>
      </c>
      <c r="AF28" s="80">
        <v>32750</v>
      </c>
      <c r="AG28" s="80">
        <v>33260</v>
      </c>
      <c r="AH28" s="80">
        <v>33690</v>
      </c>
      <c r="AI28" s="80">
        <v>34030</v>
      </c>
      <c r="AJ28" s="80">
        <v>34270</v>
      </c>
      <c r="AK28" s="80">
        <v>34400</v>
      </c>
      <c r="AL28" s="80">
        <v>34470</v>
      </c>
      <c r="AM28" s="80">
        <v>34480</v>
      </c>
      <c r="AN28" s="80">
        <v>34420</v>
      </c>
      <c r="AO28" s="80">
        <v>34310</v>
      </c>
      <c r="AP28" s="80">
        <v>34150</v>
      </c>
      <c r="AQ28" s="80">
        <v>33950</v>
      </c>
      <c r="AR28" s="80">
        <v>33740</v>
      </c>
      <c r="AS28" s="80">
        <v>33500</v>
      </c>
      <c r="AT28" s="80">
        <v>33270</v>
      </c>
      <c r="AU28" s="80">
        <v>33060</v>
      </c>
      <c r="AV28" s="80">
        <v>32880</v>
      </c>
      <c r="AW28" s="80">
        <v>32740</v>
      </c>
      <c r="AX28" s="80">
        <v>32650</v>
      </c>
      <c r="AY28" s="80">
        <v>32610</v>
      </c>
      <c r="AZ28" s="80">
        <v>32620</v>
      </c>
      <c r="BA28" s="80">
        <v>32660</v>
      </c>
      <c r="BB28" s="80">
        <v>32740</v>
      </c>
      <c r="BC28" s="80">
        <v>32820</v>
      </c>
      <c r="BD28" s="80">
        <v>32920</v>
      </c>
      <c r="BE28" s="80">
        <v>33020</v>
      </c>
      <c r="BF28" s="80">
        <v>33120</v>
      </c>
      <c r="BG28" s="80">
        <v>33210</v>
      </c>
      <c r="BH28" s="80">
        <v>33290</v>
      </c>
      <c r="BI28" s="80">
        <v>33380</v>
      </c>
      <c r="BJ28" s="80">
        <v>33450</v>
      </c>
      <c r="BK28" s="80">
        <v>33530</v>
      </c>
      <c r="BL28" s="80">
        <v>33610</v>
      </c>
    </row>
    <row r="29" spans="1:64" x14ac:dyDescent="0.2">
      <c r="A29" s="28">
        <v>19</v>
      </c>
      <c r="B29" s="80">
        <v>29070</v>
      </c>
      <c r="C29" s="80">
        <v>30050</v>
      </c>
      <c r="D29" s="80">
        <v>30440</v>
      </c>
      <c r="E29" s="80">
        <v>31800</v>
      </c>
      <c r="F29" s="80">
        <v>32490</v>
      </c>
      <c r="G29" s="80">
        <v>31470</v>
      </c>
      <c r="H29" s="80">
        <v>31340</v>
      </c>
      <c r="I29" s="80">
        <v>30840</v>
      </c>
      <c r="J29" s="80">
        <v>31350</v>
      </c>
      <c r="K29" s="80">
        <v>31520</v>
      </c>
      <c r="L29" s="80">
        <v>32320</v>
      </c>
      <c r="M29" s="80">
        <v>31950</v>
      </c>
      <c r="N29" s="80">
        <v>31440</v>
      </c>
      <c r="O29" s="80">
        <v>32490</v>
      </c>
      <c r="P29" s="80">
        <v>31960</v>
      </c>
      <c r="Q29" s="80">
        <v>30670</v>
      </c>
      <c r="R29" s="80">
        <v>30310</v>
      </c>
      <c r="S29" s="80">
        <v>30800</v>
      </c>
      <c r="T29" s="80">
        <v>30670</v>
      </c>
      <c r="U29" s="80">
        <v>31350</v>
      </c>
      <c r="V29" s="80">
        <v>32630</v>
      </c>
      <c r="W29" s="80">
        <v>33840</v>
      </c>
      <c r="X29" s="80">
        <v>33480</v>
      </c>
      <c r="Y29" s="80">
        <v>34360</v>
      </c>
      <c r="Z29" s="80">
        <v>33880</v>
      </c>
      <c r="AA29" s="80">
        <v>33410</v>
      </c>
      <c r="AB29" s="80">
        <v>32990</v>
      </c>
      <c r="AC29" s="80">
        <v>32060</v>
      </c>
      <c r="AD29" s="80">
        <v>31980</v>
      </c>
      <c r="AE29" s="80">
        <v>31970</v>
      </c>
      <c r="AF29" s="80">
        <v>32430</v>
      </c>
      <c r="AG29" s="80">
        <v>33000</v>
      </c>
      <c r="AH29" s="80">
        <v>33510</v>
      </c>
      <c r="AI29" s="80">
        <v>33950</v>
      </c>
      <c r="AJ29" s="80">
        <v>34290</v>
      </c>
      <c r="AK29" s="80">
        <v>34520</v>
      </c>
      <c r="AL29" s="80">
        <v>34660</v>
      </c>
      <c r="AM29" s="80">
        <v>34730</v>
      </c>
      <c r="AN29" s="80">
        <v>34730</v>
      </c>
      <c r="AO29" s="80">
        <v>34670</v>
      </c>
      <c r="AP29" s="80">
        <v>34560</v>
      </c>
      <c r="AQ29" s="80">
        <v>34400</v>
      </c>
      <c r="AR29" s="80">
        <v>34210</v>
      </c>
      <c r="AS29" s="80">
        <v>33990</v>
      </c>
      <c r="AT29" s="80">
        <v>33760</v>
      </c>
      <c r="AU29" s="80">
        <v>33530</v>
      </c>
      <c r="AV29" s="80">
        <v>33320</v>
      </c>
      <c r="AW29" s="80">
        <v>33140</v>
      </c>
      <c r="AX29" s="80">
        <v>33000</v>
      </c>
      <c r="AY29" s="80">
        <v>32910</v>
      </c>
      <c r="AZ29" s="80">
        <v>32870</v>
      </c>
      <c r="BA29" s="80">
        <v>32880</v>
      </c>
      <c r="BB29" s="80">
        <v>32920</v>
      </c>
      <c r="BC29" s="80">
        <v>32990</v>
      </c>
      <c r="BD29" s="80">
        <v>33080</v>
      </c>
      <c r="BE29" s="80">
        <v>33180</v>
      </c>
      <c r="BF29" s="80">
        <v>33280</v>
      </c>
      <c r="BG29" s="80">
        <v>33370</v>
      </c>
      <c r="BH29" s="80">
        <v>33470</v>
      </c>
      <c r="BI29" s="80">
        <v>33550</v>
      </c>
      <c r="BJ29" s="80">
        <v>33630</v>
      </c>
      <c r="BK29" s="80">
        <v>33710</v>
      </c>
      <c r="BL29" s="80">
        <v>33790</v>
      </c>
    </row>
    <row r="30" spans="1:64" x14ac:dyDescent="0.2">
      <c r="A30" s="28">
        <v>20</v>
      </c>
      <c r="B30" s="80">
        <v>29720</v>
      </c>
      <c r="C30" s="80">
        <v>29030</v>
      </c>
      <c r="D30" s="80">
        <v>30070</v>
      </c>
      <c r="E30" s="80">
        <v>30550</v>
      </c>
      <c r="F30" s="80">
        <v>32200</v>
      </c>
      <c r="G30" s="80">
        <v>32780</v>
      </c>
      <c r="H30" s="80">
        <v>31580</v>
      </c>
      <c r="I30" s="80">
        <v>31590</v>
      </c>
      <c r="J30" s="80">
        <v>31450</v>
      </c>
      <c r="K30" s="80">
        <v>32100</v>
      </c>
      <c r="L30" s="80">
        <v>32500</v>
      </c>
      <c r="M30" s="80">
        <v>33080</v>
      </c>
      <c r="N30" s="80">
        <v>32600</v>
      </c>
      <c r="O30" s="80">
        <v>31960</v>
      </c>
      <c r="P30" s="80">
        <v>32890</v>
      </c>
      <c r="Q30" s="80">
        <v>32240</v>
      </c>
      <c r="R30" s="80">
        <v>30840</v>
      </c>
      <c r="S30" s="80">
        <v>30480</v>
      </c>
      <c r="T30" s="80">
        <v>30960</v>
      </c>
      <c r="U30" s="80">
        <v>30830</v>
      </c>
      <c r="V30" s="80">
        <v>31510</v>
      </c>
      <c r="W30" s="80">
        <v>32800</v>
      </c>
      <c r="X30" s="80">
        <v>34010</v>
      </c>
      <c r="Y30" s="80">
        <v>33650</v>
      </c>
      <c r="Z30" s="80">
        <v>34520</v>
      </c>
      <c r="AA30" s="80">
        <v>34050</v>
      </c>
      <c r="AB30" s="80">
        <v>33570</v>
      </c>
      <c r="AC30" s="80">
        <v>33160</v>
      </c>
      <c r="AD30" s="80">
        <v>32220</v>
      </c>
      <c r="AE30" s="80">
        <v>32150</v>
      </c>
      <c r="AF30" s="80">
        <v>32140</v>
      </c>
      <c r="AG30" s="80">
        <v>32600</v>
      </c>
      <c r="AH30" s="80">
        <v>33170</v>
      </c>
      <c r="AI30" s="80">
        <v>33680</v>
      </c>
      <c r="AJ30" s="80">
        <v>34120</v>
      </c>
      <c r="AK30" s="80">
        <v>34460</v>
      </c>
      <c r="AL30" s="80">
        <v>34690</v>
      </c>
      <c r="AM30" s="80">
        <v>34830</v>
      </c>
      <c r="AN30" s="80">
        <v>34900</v>
      </c>
      <c r="AO30" s="80">
        <v>34900</v>
      </c>
      <c r="AP30" s="80">
        <v>34840</v>
      </c>
      <c r="AQ30" s="80">
        <v>34730</v>
      </c>
      <c r="AR30" s="80">
        <v>34570</v>
      </c>
      <c r="AS30" s="80">
        <v>34380</v>
      </c>
      <c r="AT30" s="80">
        <v>34160</v>
      </c>
      <c r="AU30" s="80">
        <v>33930</v>
      </c>
      <c r="AV30" s="80">
        <v>33700</v>
      </c>
      <c r="AW30" s="80">
        <v>33490</v>
      </c>
      <c r="AX30" s="80">
        <v>33310</v>
      </c>
      <c r="AY30" s="80">
        <v>33170</v>
      </c>
      <c r="AZ30" s="80">
        <v>33080</v>
      </c>
      <c r="BA30" s="80">
        <v>33040</v>
      </c>
      <c r="BB30" s="80">
        <v>33050</v>
      </c>
      <c r="BC30" s="80">
        <v>33090</v>
      </c>
      <c r="BD30" s="80">
        <v>33170</v>
      </c>
      <c r="BE30" s="80">
        <v>33250</v>
      </c>
      <c r="BF30" s="80">
        <v>33350</v>
      </c>
      <c r="BG30" s="80">
        <v>33450</v>
      </c>
      <c r="BH30" s="80">
        <v>33550</v>
      </c>
      <c r="BI30" s="80">
        <v>33640</v>
      </c>
      <c r="BJ30" s="80">
        <v>33720</v>
      </c>
      <c r="BK30" s="80">
        <v>33810</v>
      </c>
      <c r="BL30" s="80">
        <v>33880</v>
      </c>
    </row>
    <row r="31" spans="1:64" x14ac:dyDescent="0.2">
      <c r="A31" s="28">
        <v>21</v>
      </c>
      <c r="B31" s="80">
        <v>29650</v>
      </c>
      <c r="C31" s="80">
        <v>29360</v>
      </c>
      <c r="D31" s="80">
        <v>28760</v>
      </c>
      <c r="E31" s="80">
        <v>29990</v>
      </c>
      <c r="F31" s="80">
        <v>30640</v>
      </c>
      <c r="G31" s="80">
        <v>32110</v>
      </c>
      <c r="H31" s="80">
        <v>32450</v>
      </c>
      <c r="I31" s="80">
        <v>31430</v>
      </c>
      <c r="J31" s="80">
        <v>31920</v>
      </c>
      <c r="K31" s="80">
        <v>32040</v>
      </c>
      <c r="L31" s="80">
        <v>32970</v>
      </c>
      <c r="M31" s="80">
        <v>33110</v>
      </c>
      <c r="N31" s="80">
        <v>33570</v>
      </c>
      <c r="O31" s="80">
        <v>32950</v>
      </c>
      <c r="P31" s="80">
        <v>32190</v>
      </c>
      <c r="Q31" s="80">
        <v>32990</v>
      </c>
      <c r="R31" s="80">
        <v>32210</v>
      </c>
      <c r="S31" s="80">
        <v>30800</v>
      </c>
      <c r="T31" s="80">
        <v>30450</v>
      </c>
      <c r="U31" s="80">
        <v>30930</v>
      </c>
      <c r="V31" s="80">
        <v>30800</v>
      </c>
      <c r="W31" s="80">
        <v>31480</v>
      </c>
      <c r="X31" s="80">
        <v>32760</v>
      </c>
      <c r="Y31" s="80">
        <v>33970</v>
      </c>
      <c r="Z31" s="80">
        <v>33610</v>
      </c>
      <c r="AA31" s="80">
        <v>34490</v>
      </c>
      <c r="AB31" s="80">
        <v>34020</v>
      </c>
      <c r="AC31" s="80">
        <v>33540</v>
      </c>
      <c r="AD31" s="80">
        <v>33120</v>
      </c>
      <c r="AE31" s="80">
        <v>32190</v>
      </c>
      <c r="AF31" s="80">
        <v>32120</v>
      </c>
      <c r="AG31" s="80">
        <v>32100</v>
      </c>
      <c r="AH31" s="80">
        <v>32570</v>
      </c>
      <c r="AI31" s="80">
        <v>33140</v>
      </c>
      <c r="AJ31" s="80">
        <v>33650</v>
      </c>
      <c r="AK31" s="80">
        <v>34080</v>
      </c>
      <c r="AL31" s="80">
        <v>34430</v>
      </c>
      <c r="AM31" s="80">
        <v>34660</v>
      </c>
      <c r="AN31" s="80">
        <v>34800</v>
      </c>
      <c r="AO31" s="80">
        <v>34870</v>
      </c>
      <c r="AP31" s="80">
        <v>34870</v>
      </c>
      <c r="AQ31" s="80">
        <v>34810</v>
      </c>
      <c r="AR31" s="80">
        <v>34700</v>
      </c>
      <c r="AS31" s="80">
        <v>34540</v>
      </c>
      <c r="AT31" s="80">
        <v>34350</v>
      </c>
      <c r="AU31" s="80">
        <v>34130</v>
      </c>
      <c r="AV31" s="80">
        <v>33900</v>
      </c>
      <c r="AW31" s="80">
        <v>33670</v>
      </c>
      <c r="AX31" s="80">
        <v>33460</v>
      </c>
      <c r="AY31" s="80">
        <v>33280</v>
      </c>
      <c r="AZ31" s="80">
        <v>33140</v>
      </c>
      <c r="BA31" s="80">
        <v>33050</v>
      </c>
      <c r="BB31" s="80">
        <v>33010</v>
      </c>
      <c r="BC31" s="80">
        <v>33020</v>
      </c>
      <c r="BD31" s="80">
        <v>33060</v>
      </c>
      <c r="BE31" s="80">
        <v>33130</v>
      </c>
      <c r="BF31" s="80">
        <v>33220</v>
      </c>
      <c r="BG31" s="80">
        <v>33320</v>
      </c>
      <c r="BH31" s="80">
        <v>33420</v>
      </c>
      <c r="BI31" s="80">
        <v>33520</v>
      </c>
      <c r="BJ31" s="80">
        <v>33610</v>
      </c>
      <c r="BK31" s="80">
        <v>33690</v>
      </c>
      <c r="BL31" s="80">
        <v>33780</v>
      </c>
    </row>
    <row r="32" spans="1:64" x14ac:dyDescent="0.2">
      <c r="A32" s="28">
        <v>22</v>
      </c>
      <c r="B32" s="80">
        <v>29240</v>
      </c>
      <c r="C32" s="80">
        <v>29060</v>
      </c>
      <c r="D32" s="80">
        <v>28760</v>
      </c>
      <c r="E32" s="80">
        <v>28500</v>
      </c>
      <c r="F32" s="80">
        <v>29830</v>
      </c>
      <c r="G32" s="80">
        <v>30220</v>
      </c>
      <c r="H32" s="80">
        <v>31400</v>
      </c>
      <c r="I32" s="80">
        <v>32070</v>
      </c>
      <c r="J32" s="80">
        <v>31670</v>
      </c>
      <c r="K32" s="80">
        <v>32500</v>
      </c>
      <c r="L32" s="80">
        <v>32920</v>
      </c>
      <c r="M32" s="80">
        <v>33620</v>
      </c>
      <c r="N32" s="80">
        <v>33580</v>
      </c>
      <c r="O32" s="80">
        <v>33850</v>
      </c>
      <c r="P32" s="80">
        <v>33050</v>
      </c>
      <c r="Q32" s="80">
        <v>32110</v>
      </c>
      <c r="R32" s="80">
        <v>32720</v>
      </c>
      <c r="S32" s="80">
        <v>31940</v>
      </c>
      <c r="T32" s="80">
        <v>30540</v>
      </c>
      <c r="U32" s="80">
        <v>30180</v>
      </c>
      <c r="V32" s="80">
        <v>30660</v>
      </c>
      <c r="W32" s="80">
        <v>30530</v>
      </c>
      <c r="X32" s="80">
        <v>31210</v>
      </c>
      <c r="Y32" s="80">
        <v>32500</v>
      </c>
      <c r="Z32" s="80">
        <v>33710</v>
      </c>
      <c r="AA32" s="80">
        <v>33350</v>
      </c>
      <c r="AB32" s="80">
        <v>34220</v>
      </c>
      <c r="AC32" s="80">
        <v>33750</v>
      </c>
      <c r="AD32" s="80">
        <v>33280</v>
      </c>
      <c r="AE32" s="80">
        <v>32860</v>
      </c>
      <c r="AF32" s="80">
        <v>31930</v>
      </c>
      <c r="AG32" s="80">
        <v>31850</v>
      </c>
      <c r="AH32" s="80">
        <v>31840</v>
      </c>
      <c r="AI32" s="80">
        <v>32310</v>
      </c>
      <c r="AJ32" s="80">
        <v>32880</v>
      </c>
      <c r="AK32" s="80">
        <v>33390</v>
      </c>
      <c r="AL32" s="80">
        <v>33820</v>
      </c>
      <c r="AM32" s="80">
        <v>34160</v>
      </c>
      <c r="AN32" s="80">
        <v>34400</v>
      </c>
      <c r="AO32" s="80">
        <v>34530</v>
      </c>
      <c r="AP32" s="80">
        <v>34600</v>
      </c>
      <c r="AQ32" s="80">
        <v>34610</v>
      </c>
      <c r="AR32" s="80">
        <v>34550</v>
      </c>
      <c r="AS32" s="80">
        <v>34440</v>
      </c>
      <c r="AT32" s="80">
        <v>34280</v>
      </c>
      <c r="AU32" s="80">
        <v>34090</v>
      </c>
      <c r="AV32" s="80">
        <v>33870</v>
      </c>
      <c r="AW32" s="80">
        <v>33640</v>
      </c>
      <c r="AX32" s="80">
        <v>33410</v>
      </c>
      <c r="AY32" s="80">
        <v>33200</v>
      </c>
      <c r="AZ32" s="80">
        <v>33020</v>
      </c>
      <c r="BA32" s="80">
        <v>32880</v>
      </c>
      <c r="BB32" s="80">
        <v>32790</v>
      </c>
      <c r="BC32" s="80">
        <v>32750</v>
      </c>
      <c r="BD32" s="80">
        <v>32760</v>
      </c>
      <c r="BE32" s="80">
        <v>32800</v>
      </c>
      <c r="BF32" s="80">
        <v>32870</v>
      </c>
      <c r="BG32" s="80">
        <v>32960</v>
      </c>
      <c r="BH32" s="80">
        <v>33060</v>
      </c>
      <c r="BI32" s="80">
        <v>33160</v>
      </c>
      <c r="BJ32" s="80">
        <v>33260</v>
      </c>
      <c r="BK32" s="80">
        <v>33350</v>
      </c>
      <c r="BL32" s="80">
        <v>33430</v>
      </c>
    </row>
    <row r="33" spans="1:64" x14ac:dyDescent="0.2">
      <c r="A33" s="28">
        <v>23</v>
      </c>
      <c r="B33" s="80">
        <v>28880</v>
      </c>
      <c r="C33" s="80">
        <v>28650</v>
      </c>
      <c r="D33" s="80">
        <v>28520</v>
      </c>
      <c r="E33" s="80">
        <v>28380</v>
      </c>
      <c r="F33" s="80">
        <v>28400</v>
      </c>
      <c r="G33" s="80">
        <v>29440</v>
      </c>
      <c r="H33" s="80">
        <v>29730</v>
      </c>
      <c r="I33" s="80">
        <v>31030</v>
      </c>
      <c r="J33" s="80">
        <v>32570</v>
      </c>
      <c r="K33" s="80">
        <v>32790</v>
      </c>
      <c r="L33" s="80">
        <v>33920</v>
      </c>
      <c r="M33" s="80">
        <v>33830</v>
      </c>
      <c r="N33" s="80">
        <v>34300</v>
      </c>
      <c r="O33" s="80">
        <v>34020</v>
      </c>
      <c r="P33" s="80">
        <v>34060</v>
      </c>
      <c r="Q33" s="80">
        <v>33030</v>
      </c>
      <c r="R33" s="80">
        <v>31840</v>
      </c>
      <c r="S33" s="80">
        <v>32460</v>
      </c>
      <c r="T33" s="80">
        <v>31680</v>
      </c>
      <c r="U33" s="80">
        <v>30280</v>
      </c>
      <c r="V33" s="80">
        <v>29920</v>
      </c>
      <c r="W33" s="80">
        <v>30400</v>
      </c>
      <c r="X33" s="80">
        <v>30270</v>
      </c>
      <c r="Y33" s="80">
        <v>30950</v>
      </c>
      <c r="Z33" s="80">
        <v>32240</v>
      </c>
      <c r="AA33" s="80">
        <v>33440</v>
      </c>
      <c r="AB33" s="80">
        <v>33090</v>
      </c>
      <c r="AC33" s="80">
        <v>33960</v>
      </c>
      <c r="AD33" s="80">
        <v>33490</v>
      </c>
      <c r="AE33" s="80">
        <v>33020</v>
      </c>
      <c r="AF33" s="80">
        <v>32600</v>
      </c>
      <c r="AG33" s="80">
        <v>31670</v>
      </c>
      <c r="AH33" s="80">
        <v>31590</v>
      </c>
      <c r="AI33" s="80">
        <v>31580</v>
      </c>
      <c r="AJ33" s="80">
        <v>32050</v>
      </c>
      <c r="AK33" s="80">
        <v>32620</v>
      </c>
      <c r="AL33" s="80">
        <v>33130</v>
      </c>
      <c r="AM33" s="80">
        <v>33560</v>
      </c>
      <c r="AN33" s="80">
        <v>33900</v>
      </c>
      <c r="AO33" s="80">
        <v>34140</v>
      </c>
      <c r="AP33" s="80">
        <v>34270</v>
      </c>
      <c r="AQ33" s="80">
        <v>34340</v>
      </c>
      <c r="AR33" s="80">
        <v>34350</v>
      </c>
      <c r="AS33" s="80">
        <v>34290</v>
      </c>
      <c r="AT33" s="80">
        <v>34180</v>
      </c>
      <c r="AU33" s="80">
        <v>34020</v>
      </c>
      <c r="AV33" s="80">
        <v>33830</v>
      </c>
      <c r="AW33" s="80">
        <v>33610</v>
      </c>
      <c r="AX33" s="80">
        <v>33380</v>
      </c>
      <c r="AY33" s="80">
        <v>33150</v>
      </c>
      <c r="AZ33" s="80">
        <v>32940</v>
      </c>
      <c r="BA33" s="80">
        <v>32760</v>
      </c>
      <c r="BB33" s="80">
        <v>32620</v>
      </c>
      <c r="BC33" s="80">
        <v>32530</v>
      </c>
      <c r="BD33" s="80">
        <v>32490</v>
      </c>
      <c r="BE33" s="80">
        <v>32500</v>
      </c>
      <c r="BF33" s="80">
        <v>32540</v>
      </c>
      <c r="BG33" s="80">
        <v>32620</v>
      </c>
      <c r="BH33" s="80">
        <v>32700</v>
      </c>
      <c r="BI33" s="80">
        <v>32800</v>
      </c>
      <c r="BJ33" s="80">
        <v>32900</v>
      </c>
      <c r="BK33" s="80">
        <v>33000</v>
      </c>
      <c r="BL33" s="80">
        <v>33090</v>
      </c>
    </row>
    <row r="34" spans="1:64" x14ac:dyDescent="0.2">
      <c r="A34" s="28">
        <v>24</v>
      </c>
      <c r="B34" s="80">
        <v>27860</v>
      </c>
      <c r="C34" s="80">
        <v>28440</v>
      </c>
      <c r="D34" s="80">
        <v>28250</v>
      </c>
      <c r="E34" s="80">
        <v>28310</v>
      </c>
      <c r="F34" s="80">
        <v>28250</v>
      </c>
      <c r="G34" s="80">
        <v>28180</v>
      </c>
      <c r="H34" s="80">
        <v>29140</v>
      </c>
      <c r="I34" s="80">
        <v>29620</v>
      </c>
      <c r="J34" s="80">
        <v>31710</v>
      </c>
      <c r="K34" s="80">
        <v>33770</v>
      </c>
      <c r="L34" s="80">
        <v>34330</v>
      </c>
      <c r="M34" s="80">
        <v>35080</v>
      </c>
      <c r="N34" s="80">
        <v>34740</v>
      </c>
      <c r="O34" s="80">
        <v>34970</v>
      </c>
      <c r="P34" s="80">
        <v>34440</v>
      </c>
      <c r="Q34" s="80">
        <v>34230</v>
      </c>
      <c r="R34" s="80">
        <v>32950</v>
      </c>
      <c r="S34" s="80">
        <v>31770</v>
      </c>
      <c r="T34" s="80">
        <v>32380</v>
      </c>
      <c r="U34" s="80">
        <v>31600</v>
      </c>
      <c r="V34" s="80">
        <v>30200</v>
      </c>
      <c r="W34" s="80">
        <v>29840</v>
      </c>
      <c r="X34" s="80">
        <v>30330</v>
      </c>
      <c r="Y34" s="80">
        <v>30200</v>
      </c>
      <c r="Z34" s="80">
        <v>30880</v>
      </c>
      <c r="AA34" s="80">
        <v>32160</v>
      </c>
      <c r="AB34" s="80">
        <v>33370</v>
      </c>
      <c r="AC34" s="80">
        <v>33010</v>
      </c>
      <c r="AD34" s="80">
        <v>33880</v>
      </c>
      <c r="AE34" s="80">
        <v>33410</v>
      </c>
      <c r="AF34" s="80">
        <v>32940</v>
      </c>
      <c r="AG34" s="80">
        <v>32520</v>
      </c>
      <c r="AH34" s="80">
        <v>31590</v>
      </c>
      <c r="AI34" s="80">
        <v>31520</v>
      </c>
      <c r="AJ34" s="80">
        <v>31510</v>
      </c>
      <c r="AK34" s="80">
        <v>31970</v>
      </c>
      <c r="AL34" s="80">
        <v>32540</v>
      </c>
      <c r="AM34" s="80">
        <v>33050</v>
      </c>
      <c r="AN34" s="80">
        <v>33490</v>
      </c>
      <c r="AO34" s="80">
        <v>33830</v>
      </c>
      <c r="AP34" s="80">
        <v>34060</v>
      </c>
      <c r="AQ34" s="80">
        <v>34200</v>
      </c>
      <c r="AR34" s="80">
        <v>34270</v>
      </c>
      <c r="AS34" s="80">
        <v>34270</v>
      </c>
      <c r="AT34" s="80">
        <v>34210</v>
      </c>
      <c r="AU34" s="80">
        <v>34100</v>
      </c>
      <c r="AV34" s="80">
        <v>33950</v>
      </c>
      <c r="AW34" s="80">
        <v>33750</v>
      </c>
      <c r="AX34" s="80">
        <v>33540</v>
      </c>
      <c r="AY34" s="80">
        <v>33310</v>
      </c>
      <c r="AZ34" s="80">
        <v>33080</v>
      </c>
      <c r="BA34" s="80">
        <v>32870</v>
      </c>
      <c r="BB34" s="80">
        <v>32690</v>
      </c>
      <c r="BC34" s="80">
        <v>32550</v>
      </c>
      <c r="BD34" s="80">
        <v>32460</v>
      </c>
      <c r="BE34" s="80">
        <v>32420</v>
      </c>
      <c r="BF34" s="80">
        <v>32420</v>
      </c>
      <c r="BG34" s="80">
        <v>32470</v>
      </c>
      <c r="BH34" s="80">
        <v>32540</v>
      </c>
      <c r="BI34" s="80">
        <v>32630</v>
      </c>
      <c r="BJ34" s="80">
        <v>32730</v>
      </c>
      <c r="BK34" s="80">
        <v>32830</v>
      </c>
      <c r="BL34" s="80">
        <v>32930</v>
      </c>
    </row>
    <row r="35" spans="1:64" x14ac:dyDescent="0.2">
      <c r="A35" s="28">
        <v>25</v>
      </c>
      <c r="B35" s="80">
        <v>27140</v>
      </c>
      <c r="C35" s="80">
        <v>27660</v>
      </c>
      <c r="D35" s="80">
        <v>28050</v>
      </c>
      <c r="E35" s="80">
        <v>28170</v>
      </c>
      <c r="F35" s="80">
        <v>28260</v>
      </c>
      <c r="G35" s="80">
        <v>28120</v>
      </c>
      <c r="H35" s="80">
        <v>28030</v>
      </c>
      <c r="I35" s="80">
        <v>29240</v>
      </c>
      <c r="J35" s="80">
        <v>30420</v>
      </c>
      <c r="K35" s="80">
        <v>32930</v>
      </c>
      <c r="L35" s="80">
        <v>35480</v>
      </c>
      <c r="M35" s="80">
        <v>35670</v>
      </c>
      <c r="N35" s="80">
        <v>36180</v>
      </c>
      <c r="O35" s="80">
        <v>35600</v>
      </c>
      <c r="P35" s="80">
        <v>35570</v>
      </c>
      <c r="Q35" s="80">
        <v>34800</v>
      </c>
      <c r="R35" s="80">
        <v>34340</v>
      </c>
      <c r="S35" s="80">
        <v>33060</v>
      </c>
      <c r="T35" s="80">
        <v>31880</v>
      </c>
      <c r="U35" s="80">
        <v>32490</v>
      </c>
      <c r="V35" s="80">
        <v>31720</v>
      </c>
      <c r="W35" s="80">
        <v>30310</v>
      </c>
      <c r="X35" s="80">
        <v>29960</v>
      </c>
      <c r="Y35" s="80">
        <v>30440</v>
      </c>
      <c r="Z35" s="80">
        <v>30310</v>
      </c>
      <c r="AA35" s="80">
        <v>30990</v>
      </c>
      <c r="AB35" s="80">
        <v>32280</v>
      </c>
      <c r="AC35" s="80">
        <v>33480</v>
      </c>
      <c r="AD35" s="80">
        <v>33130</v>
      </c>
      <c r="AE35" s="80">
        <v>34000</v>
      </c>
      <c r="AF35" s="80">
        <v>33530</v>
      </c>
      <c r="AG35" s="80">
        <v>33060</v>
      </c>
      <c r="AH35" s="80">
        <v>32640</v>
      </c>
      <c r="AI35" s="80">
        <v>31710</v>
      </c>
      <c r="AJ35" s="80">
        <v>31630</v>
      </c>
      <c r="AK35" s="80">
        <v>31620</v>
      </c>
      <c r="AL35" s="80">
        <v>32090</v>
      </c>
      <c r="AM35" s="80">
        <v>32660</v>
      </c>
      <c r="AN35" s="80">
        <v>33170</v>
      </c>
      <c r="AO35" s="80">
        <v>33600</v>
      </c>
      <c r="AP35" s="80">
        <v>33950</v>
      </c>
      <c r="AQ35" s="80">
        <v>34180</v>
      </c>
      <c r="AR35" s="80">
        <v>34320</v>
      </c>
      <c r="AS35" s="80">
        <v>34390</v>
      </c>
      <c r="AT35" s="80">
        <v>34390</v>
      </c>
      <c r="AU35" s="80">
        <v>34330</v>
      </c>
      <c r="AV35" s="80">
        <v>34220</v>
      </c>
      <c r="AW35" s="80">
        <v>34070</v>
      </c>
      <c r="AX35" s="80">
        <v>33870</v>
      </c>
      <c r="AY35" s="80">
        <v>33660</v>
      </c>
      <c r="AZ35" s="80">
        <v>33420</v>
      </c>
      <c r="BA35" s="80">
        <v>33200</v>
      </c>
      <c r="BB35" s="80">
        <v>32990</v>
      </c>
      <c r="BC35" s="80">
        <v>32800</v>
      </c>
      <c r="BD35" s="80">
        <v>32670</v>
      </c>
      <c r="BE35" s="80">
        <v>32580</v>
      </c>
      <c r="BF35" s="80">
        <v>32540</v>
      </c>
      <c r="BG35" s="80">
        <v>32540</v>
      </c>
      <c r="BH35" s="80">
        <v>32590</v>
      </c>
      <c r="BI35" s="80">
        <v>32660</v>
      </c>
      <c r="BJ35" s="80">
        <v>32750</v>
      </c>
      <c r="BK35" s="80">
        <v>32850</v>
      </c>
      <c r="BL35" s="80">
        <v>32950</v>
      </c>
    </row>
    <row r="36" spans="1:64" x14ac:dyDescent="0.2">
      <c r="A36" s="28">
        <v>26</v>
      </c>
      <c r="B36" s="80">
        <v>26810</v>
      </c>
      <c r="C36" s="80">
        <v>27200</v>
      </c>
      <c r="D36" s="80">
        <v>27510</v>
      </c>
      <c r="E36" s="80">
        <v>28030</v>
      </c>
      <c r="F36" s="80">
        <v>28290</v>
      </c>
      <c r="G36" s="80">
        <v>28060</v>
      </c>
      <c r="H36" s="80">
        <v>27980</v>
      </c>
      <c r="I36" s="80">
        <v>28240</v>
      </c>
      <c r="J36" s="80">
        <v>30220</v>
      </c>
      <c r="K36" s="80">
        <v>31810</v>
      </c>
      <c r="L36" s="80">
        <v>34670</v>
      </c>
      <c r="M36" s="80">
        <v>36840</v>
      </c>
      <c r="N36" s="80">
        <v>36810</v>
      </c>
      <c r="O36" s="80">
        <v>37100</v>
      </c>
      <c r="P36" s="80">
        <v>36300</v>
      </c>
      <c r="Q36" s="80">
        <v>36060</v>
      </c>
      <c r="R36" s="80">
        <v>35070</v>
      </c>
      <c r="S36" s="80">
        <v>34610</v>
      </c>
      <c r="T36" s="80">
        <v>33330</v>
      </c>
      <c r="U36" s="80">
        <v>32150</v>
      </c>
      <c r="V36" s="80">
        <v>32760</v>
      </c>
      <c r="W36" s="80">
        <v>31980</v>
      </c>
      <c r="X36" s="80">
        <v>30580</v>
      </c>
      <c r="Y36" s="80">
        <v>30230</v>
      </c>
      <c r="Z36" s="80">
        <v>30710</v>
      </c>
      <c r="AA36" s="80">
        <v>30580</v>
      </c>
      <c r="AB36" s="80">
        <v>31260</v>
      </c>
      <c r="AC36" s="80">
        <v>32550</v>
      </c>
      <c r="AD36" s="80">
        <v>33750</v>
      </c>
      <c r="AE36" s="80">
        <v>33390</v>
      </c>
      <c r="AF36" s="80">
        <v>34270</v>
      </c>
      <c r="AG36" s="80">
        <v>33800</v>
      </c>
      <c r="AH36" s="80">
        <v>33330</v>
      </c>
      <c r="AI36" s="80">
        <v>32910</v>
      </c>
      <c r="AJ36" s="80">
        <v>31980</v>
      </c>
      <c r="AK36" s="80">
        <v>31910</v>
      </c>
      <c r="AL36" s="80">
        <v>31890</v>
      </c>
      <c r="AM36" s="80">
        <v>32360</v>
      </c>
      <c r="AN36" s="80">
        <v>32930</v>
      </c>
      <c r="AO36" s="80">
        <v>33440</v>
      </c>
      <c r="AP36" s="80">
        <v>33870</v>
      </c>
      <c r="AQ36" s="80">
        <v>34220</v>
      </c>
      <c r="AR36" s="80">
        <v>34450</v>
      </c>
      <c r="AS36" s="80">
        <v>34590</v>
      </c>
      <c r="AT36" s="80">
        <v>34660</v>
      </c>
      <c r="AU36" s="80">
        <v>34660</v>
      </c>
      <c r="AV36" s="80">
        <v>34600</v>
      </c>
      <c r="AW36" s="80">
        <v>34490</v>
      </c>
      <c r="AX36" s="80">
        <v>34340</v>
      </c>
      <c r="AY36" s="80">
        <v>34150</v>
      </c>
      <c r="AZ36" s="80">
        <v>33930</v>
      </c>
      <c r="BA36" s="80">
        <v>33700</v>
      </c>
      <c r="BB36" s="80">
        <v>33470</v>
      </c>
      <c r="BC36" s="80">
        <v>33260</v>
      </c>
      <c r="BD36" s="80">
        <v>33080</v>
      </c>
      <c r="BE36" s="80">
        <v>32940</v>
      </c>
      <c r="BF36" s="80">
        <v>32850</v>
      </c>
      <c r="BG36" s="80">
        <v>32810</v>
      </c>
      <c r="BH36" s="80">
        <v>32820</v>
      </c>
      <c r="BI36" s="80">
        <v>32860</v>
      </c>
      <c r="BJ36" s="80">
        <v>32940</v>
      </c>
      <c r="BK36" s="80">
        <v>33020</v>
      </c>
      <c r="BL36" s="80">
        <v>33120</v>
      </c>
    </row>
    <row r="37" spans="1:64" x14ac:dyDescent="0.2">
      <c r="A37" s="28">
        <v>27</v>
      </c>
      <c r="B37" s="80">
        <v>26790</v>
      </c>
      <c r="C37" s="80">
        <v>26970</v>
      </c>
      <c r="D37" s="80">
        <v>27250</v>
      </c>
      <c r="E37" s="80">
        <v>27710</v>
      </c>
      <c r="F37" s="80">
        <v>28270</v>
      </c>
      <c r="G37" s="80">
        <v>28130</v>
      </c>
      <c r="H37" s="80">
        <v>28050</v>
      </c>
      <c r="I37" s="80">
        <v>28080</v>
      </c>
      <c r="J37" s="80">
        <v>29170</v>
      </c>
      <c r="K37" s="80">
        <v>31530</v>
      </c>
      <c r="L37" s="80">
        <v>33300</v>
      </c>
      <c r="M37" s="80">
        <v>35960</v>
      </c>
      <c r="N37" s="80">
        <v>37940</v>
      </c>
      <c r="O37" s="80">
        <v>37730</v>
      </c>
      <c r="P37" s="80">
        <v>37830</v>
      </c>
      <c r="Q37" s="80">
        <v>36840</v>
      </c>
      <c r="R37" s="80">
        <v>36410</v>
      </c>
      <c r="S37" s="80">
        <v>35420</v>
      </c>
      <c r="T37" s="80">
        <v>34970</v>
      </c>
      <c r="U37" s="80">
        <v>33680</v>
      </c>
      <c r="V37" s="80">
        <v>32500</v>
      </c>
      <c r="W37" s="80">
        <v>33120</v>
      </c>
      <c r="X37" s="80">
        <v>32340</v>
      </c>
      <c r="Y37" s="80">
        <v>30940</v>
      </c>
      <c r="Z37" s="80">
        <v>30590</v>
      </c>
      <c r="AA37" s="80">
        <v>31070</v>
      </c>
      <c r="AB37" s="80">
        <v>30940</v>
      </c>
      <c r="AC37" s="80">
        <v>31620</v>
      </c>
      <c r="AD37" s="80">
        <v>32900</v>
      </c>
      <c r="AE37" s="80">
        <v>34110</v>
      </c>
      <c r="AF37" s="80">
        <v>33750</v>
      </c>
      <c r="AG37" s="80">
        <v>34630</v>
      </c>
      <c r="AH37" s="80">
        <v>34160</v>
      </c>
      <c r="AI37" s="80">
        <v>33680</v>
      </c>
      <c r="AJ37" s="80">
        <v>33270</v>
      </c>
      <c r="AK37" s="80">
        <v>32340</v>
      </c>
      <c r="AL37" s="80">
        <v>32260</v>
      </c>
      <c r="AM37" s="80">
        <v>32250</v>
      </c>
      <c r="AN37" s="80">
        <v>32720</v>
      </c>
      <c r="AO37" s="80">
        <v>33290</v>
      </c>
      <c r="AP37" s="80">
        <v>33800</v>
      </c>
      <c r="AQ37" s="80">
        <v>34230</v>
      </c>
      <c r="AR37" s="80">
        <v>34580</v>
      </c>
      <c r="AS37" s="80">
        <v>34810</v>
      </c>
      <c r="AT37" s="80">
        <v>34950</v>
      </c>
      <c r="AU37" s="80">
        <v>35020</v>
      </c>
      <c r="AV37" s="80">
        <v>35020</v>
      </c>
      <c r="AW37" s="80">
        <v>34960</v>
      </c>
      <c r="AX37" s="80">
        <v>34850</v>
      </c>
      <c r="AY37" s="80">
        <v>34700</v>
      </c>
      <c r="AZ37" s="80">
        <v>34510</v>
      </c>
      <c r="BA37" s="80">
        <v>34290</v>
      </c>
      <c r="BB37" s="80">
        <v>34060</v>
      </c>
      <c r="BC37" s="80">
        <v>33830</v>
      </c>
      <c r="BD37" s="80">
        <v>33620</v>
      </c>
      <c r="BE37" s="80">
        <v>33440</v>
      </c>
      <c r="BF37" s="80">
        <v>33300</v>
      </c>
      <c r="BG37" s="80">
        <v>33210</v>
      </c>
      <c r="BH37" s="80">
        <v>33170</v>
      </c>
      <c r="BI37" s="80">
        <v>33180</v>
      </c>
      <c r="BJ37" s="80">
        <v>33220</v>
      </c>
      <c r="BK37" s="80">
        <v>33300</v>
      </c>
      <c r="BL37" s="80">
        <v>33390</v>
      </c>
    </row>
    <row r="38" spans="1:64" x14ac:dyDescent="0.2">
      <c r="A38" s="28">
        <v>28</v>
      </c>
      <c r="B38" s="80">
        <v>26050</v>
      </c>
      <c r="C38" s="80">
        <v>27100</v>
      </c>
      <c r="D38" s="80">
        <v>27180</v>
      </c>
      <c r="E38" s="80">
        <v>27540</v>
      </c>
      <c r="F38" s="80">
        <v>27920</v>
      </c>
      <c r="G38" s="80">
        <v>28350</v>
      </c>
      <c r="H38" s="80">
        <v>28130</v>
      </c>
      <c r="I38" s="80">
        <v>28290</v>
      </c>
      <c r="J38" s="80">
        <v>28870</v>
      </c>
      <c r="K38" s="80">
        <v>30450</v>
      </c>
      <c r="L38" s="80">
        <v>33160</v>
      </c>
      <c r="M38" s="80">
        <v>34540</v>
      </c>
      <c r="N38" s="80">
        <v>37030</v>
      </c>
      <c r="O38" s="80">
        <v>38850</v>
      </c>
      <c r="P38" s="80">
        <v>38480</v>
      </c>
      <c r="Q38" s="80">
        <v>38420</v>
      </c>
      <c r="R38" s="80">
        <v>37270</v>
      </c>
      <c r="S38" s="80">
        <v>36850</v>
      </c>
      <c r="T38" s="80">
        <v>35860</v>
      </c>
      <c r="U38" s="80">
        <v>35400</v>
      </c>
      <c r="V38" s="80">
        <v>34120</v>
      </c>
      <c r="W38" s="80">
        <v>32940</v>
      </c>
      <c r="X38" s="80">
        <v>33550</v>
      </c>
      <c r="Y38" s="80">
        <v>32770</v>
      </c>
      <c r="Z38" s="80">
        <v>31380</v>
      </c>
      <c r="AA38" s="80">
        <v>31020</v>
      </c>
      <c r="AB38" s="80">
        <v>31500</v>
      </c>
      <c r="AC38" s="80">
        <v>31380</v>
      </c>
      <c r="AD38" s="80">
        <v>32050</v>
      </c>
      <c r="AE38" s="80">
        <v>33340</v>
      </c>
      <c r="AF38" s="80">
        <v>34550</v>
      </c>
      <c r="AG38" s="80">
        <v>34190</v>
      </c>
      <c r="AH38" s="80">
        <v>35060</v>
      </c>
      <c r="AI38" s="80">
        <v>34590</v>
      </c>
      <c r="AJ38" s="80">
        <v>34120</v>
      </c>
      <c r="AK38" s="80">
        <v>33710</v>
      </c>
      <c r="AL38" s="80">
        <v>32770</v>
      </c>
      <c r="AM38" s="80">
        <v>32700</v>
      </c>
      <c r="AN38" s="80">
        <v>32690</v>
      </c>
      <c r="AO38" s="80">
        <v>33160</v>
      </c>
      <c r="AP38" s="80">
        <v>33720</v>
      </c>
      <c r="AQ38" s="80">
        <v>34240</v>
      </c>
      <c r="AR38" s="80">
        <v>34670</v>
      </c>
      <c r="AS38" s="80">
        <v>35010</v>
      </c>
      <c r="AT38" s="80">
        <v>35250</v>
      </c>
      <c r="AU38" s="80">
        <v>35380</v>
      </c>
      <c r="AV38" s="80">
        <v>35460</v>
      </c>
      <c r="AW38" s="80">
        <v>35460</v>
      </c>
      <c r="AX38" s="80">
        <v>35400</v>
      </c>
      <c r="AY38" s="80">
        <v>35290</v>
      </c>
      <c r="AZ38" s="80">
        <v>35130</v>
      </c>
      <c r="BA38" s="80">
        <v>34940</v>
      </c>
      <c r="BB38" s="80">
        <v>34730</v>
      </c>
      <c r="BC38" s="80">
        <v>34490</v>
      </c>
      <c r="BD38" s="80">
        <v>34270</v>
      </c>
      <c r="BE38" s="80">
        <v>34060</v>
      </c>
      <c r="BF38" s="80">
        <v>33880</v>
      </c>
      <c r="BG38" s="80">
        <v>33740</v>
      </c>
      <c r="BH38" s="80">
        <v>33650</v>
      </c>
      <c r="BI38" s="80">
        <v>33610</v>
      </c>
      <c r="BJ38" s="80">
        <v>33620</v>
      </c>
      <c r="BK38" s="80">
        <v>33660</v>
      </c>
      <c r="BL38" s="80">
        <v>33740</v>
      </c>
    </row>
    <row r="39" spans="1:64" x14ac:dyDescent="0.2">
      <c r="A39" s="28">
        <v>29</v>
      </c>
      <c r="B39" s="80">
        <v>26810</v>
      </c>
      <c r="C39" s="80">
        <v>26550</v>
      </c>
      <c r="D39" s="80">
        <v>27440</v>
      </c>
      <c r="E39" s="80">
        <v>27550</v>
      </c>
      <c r="F39" s="80">
        <v>27810</v>
      </c>
      <c r="G39" s="80">
        <v>28140</v>
      </c>
      <c r="H39" s="80">
        <v>28370</v>
      </c>
      <c r="I39" s="80">
        <v>28300</v>
      </c>
      <c r="J39" s="80">
        <v>29190</v>
      </c>
      <c r="K39" s="80">
        <v>30040</v>
      </c>
      <c r="L39" s="80">
        <v>31800</v>
      </c>
      <c r="M39" s="80">
        <v>34330</v>
      </c>
      <c r="N39" s="80">
        <v>35570</v>
      </c>
      <c r="O39" s="80">
        <v>37930</v>
      </c>
      <c r="P39" s="80">
        <v>39620</v>
      </c>
      <c r="Q39" s="80">
        <v>39110</v>
      </c>
      <c r="R39" s="80">
        <v>38920</v>
      </c>
      <c r="S39" s="80">
        <v>37770</v>
      </c>
      <c r="T39" s="80">
        <v>37340</v>
      </c>
      <c r="U39" s="80">
        <v>36350</v>
      </c>
      <c r="V39" s="80">
        <v>35890</v>
      </c>
      <c r="W39" s="80">
        <v>34610</v>
      </c>
      <c r="X39" s="80">
        <v>33440</v>
      </c>
      <c r="Y39" s="80">
        <v>34050</v>
      </c>
      <c r="Z39" s="80">
        <v>33270</v>
      </c>
      <c r="AA39" s="80">
        <v>31870</v>
      </c>
      <c r="AB39" s="80">
        <v>31520</v>
      </c>
      <c r="AC39" s="80">
        <v>32000</v>
      </c>
      <c r="AD39" s="80">
        <v>31870</v>
      </c>
      <c r="AE39" s="80">
        <v>32550</v>
      </c>
      <c r="AF39" s="80">
        <v>33840</v>
      </c>
      <c r="AG39" s="80">
        <v>35040</v>
      </c>
      <c r="AH39" s="80">
        <v>34690</v>
      </c>
      <c r="AI39" s="80">
        <v>35560</v>
      </c>
      <c r="AJ39" s="80">
        <v>35090</v>
      </c>
      <c r="AK39" s="80">
        <v>34620</v>
      </c>
      <c r="AL39" s="80">
        <v>34200</v>
      </c>
      <c r="AM39" s="80">
        <v>33270</v>
      </c>
      <c r="AN39" s="80">
        <v>33200</v>
      </c>
      <c r="AO39" s="80">
        <v>33190</v>
      </c>
      <c r="AP39" s="80">
        <v>33650</v>
      </c>
      <c r="AQ39" s="80">
        <v>34220</v>
      </c>
      <c r="AR39" s="80">
        <v>34730</v>
      </c>
      <c r="AS39" s="80">
        <v>35170</v>
      </c>
      <c r="AT39" s="80">
        <v>35510</v>
      </c>
      <c r="AU39" s="80">
        <v>35740</v>
      </c>
      <c r="AV39" s="80">
        <v>35880</v>
      </c>
      <c r="AW39" s="80">
        <v>35950</v>
      </c>
      <c r="AX39" s="80">
        <v>35960</v>
      </c>
      <c r="AY39" s="80">
        <v>35900</v>
      </c>
      <c r="AZ39" s="80">
        <v>35790</v>
      </c>
      <c r="BA39" s="80">
        <v>35630</v>
      </c>
      <c r="BB39" s="80">
        <v>35440</v>
      </c>
      <c r="BC39" s="80">
        <v>35230</v>
      </c>
      <c r="BD39" s="80">
        <v>34990</v>
      </c>
      <c r="BE39" s="80">
        <v>34770</v>
      </c>
      <c r="BF39" s="80">
        <v>34560</v>
      </c>
      <c r="BG39" s="80">
        <v>34380</v>
      </c>
      <c r="BH39" s="80">
        <v>34240</v>
      </c>
      <c r="BI39" s="80">
        <v>34150</v>
      </c>
      <c r="BJ39" s="80">
        <v>34110</v>
      </c>
      <c r="BK39" s="80">
        <v>34120</v>
      </c>
      <c r="BL39" s="80">
        <v>34160</v>
      </c>
    </row>
    <row r="40" spans="1:64" x14ac:dyDescent="0.2">
      <c r="A40" s="28">
        <v>30</v>
      </c>
      <c r="B40" s="80">
        <v>27080</v>
      </c>
      <c r="C40" s="80">
        <v>27260</v>
      </c>
      <c r="D40" s="80">
        <v>26940</v>
      </c>
      <c r="E40" s="80">
        <v>27910</v>
      </c>
      <c r="F40" s="80">
        <v>28010</v>
      </c>
      <c r="G40" s="80">
        <v>27920</v>
      </c>
      <c r="H40" s="80">
        <v>28260</v>
      </c>
      <c r="I40" s="80">
        <v>28630</v>
      </c>
      <c r="J40" s="80">
        <v>29130</v>
      </c>
      <c r="K40" s="80">
        <v>30240</v>
      </c>
      <c r="L40" s="80">
        <v>31340</v>
      </c>
      <c r="M40" s="80">
        <v>32850</v>
      </c>
      <c r="N40" s="80">
        <v>35250</v>
      </c>
      <c r="O40" s="80">
        <v>36380</v>
      </c>
      <c r="P40" s="80">
        <v>38610</v>
      </c>
      <c r="Q40" s="80">
        <v>40180</v>
      </c>
      <c r="R40" s="80">
        <v>39560</v>
      </c>
      <c r="S40" s="80">
        <v>39360</v>
      </c>
      <c r="T40" s="80">
        <v>38210</v>
      </c>
      <c r="U40" s="80">
        <v>37790</v>
      </c>
      <c r="V40" s="80">
        <v>36800</v>
      </c>
      <c r="W40" s="80">
        <v>36340</v>
      </c>
      <c r="X40" s="80">
        <v>35060</v>
      </c>
      <c r="Y40" s="80">
        <v>33880</v>
      </c>
      <c r="Z40" s="80">
        <v>34500</v>
      </c>
      <c r="AA40" s="80">
        <v>33720</v>
      </c>
      <c r="AB40" s="80">
        <v>32320</v>
      </c>
      <c r="AC40" s="80">
        <v>31970</v>
      </c>
      <c r="AD40" s="80">
        <v>32450</v>
      </c>
      <c r="AE40" s="80">
        <v>32320</v>
      </c>
      <c r="AF40" s="80">
        <v>33000</v>
      </c>
      <c r="AG40" s="80">
        <v>34280</v>
      </c>
      <c r="AH40" s="80">
        <v>35490</v>
      </c>
      <c r="AI40" s="80">
        <v>35130</v>
      </c>
      <c r="AJ40" s="80">
        <v>36010</v>
      </c>
      <c r="AK40" s="80">
        <v>35540</v>
      </c>
      <c r="AL40" s="80">
        <v>35070</v>
      </c>
      <c r="AM40" s="80">
        <v>34650</v>
      </c>
      <c r="AN40" s="80">
        <v>33720</v>
      </c>
      <c r="AO40" s="80">
        <v>33650</v>
      </c>
      <c r="AP40" s="80">
        <v>33640</v>
      </c>
      <c r="AQ40" s="80">
        <v>34100</v>
      </c>
      <c r="AR40" s="80">
        <v>34670</v>
      </c>
      <c r="AS40" s="80">
        <v>35180</v>
      </c>
      <c r="AT40" s="80">
        <v>35620</v>
      </c>
      <c r="AU40" s="80">
        <v>35960</v>
      </c>
      <c r="AV40" s="80">
        <v>36190</v>
      </c>
      <c r="AW40" s="80">
        <v>36330</v>
      </c>
      <c r="AX40" s="80">
        <v>36400</v>
      </c>
      <c r="AY40" s="80">
        <v>36410</v>
      </c>
      <c r="AZ40" s="80">
        <v>36350</v>
      </c>
      <c r="BA40" s="80">
        <v>36240</v>
      </c>
      <c r="BB40" s="80">
        <v>36080</v>
      </c>
      <c r="BC40" s="80">
        <v>35890</v>
      </c>
      <c r="BD40" s="80">
        <v>35680</v>
      </c>
      <c r="BE40" s="80">
        <v>35440</v>
      </c>
      <c r="BF40" s="80">
        <v>35220</v>
      </c>
      <c r="BG40" s="80">
        <v>35010</v>
      </c>
      <c r="BH40" s="80">
        <v>34830</v>
      </c>
      <c r="BI40" s="80">
        <v>34690</v>
      </c>
      <c r="BJ40" s="80">
        <v>34600</v>
      </c>
      <c r="BK40" s="80">
        <v>34560</v>
      </c>
      <c r="BL40" s="80">
        <v>34570</v>
      </c>
    </row>
    <row r="41" spans="1:64" x14ac:dyDescent="0.2">
      <c r="A41" s="28">
        <v>31</v>
      </c>
      <c r="B41" s="80">
        <v>28670</v>
      </c>
      <c r="C41" s="80">
        <v>27610</v>
      </c>
      <c r="D41" s="80">
        <v>27590</v>
      </c>
      <c r="E41" s="80">
        <v>27380</v>
      </c>
      <c r="F41" s="80">
        <v>28230</v>
      </c>
      <c r="G41" s="80">
        <v>28200</v>
      </c>
      <c r="H41" s="80">
        <v>28030</v>
      </c>
      <c r="I41" s="80">
        <v>28510</v>
      </c>
      <c r="J41" s="80">
        <v>29290</v>
      </c>
      <c r="K41" s="80">
        <v>30040</v>
      </c>
      <c r="L41" s="80">
        <v>31460</v>
      </c>
      <c r="M41" s="80">
        <v>32280</v>
      </c>
      <c r="N41" s="80">
        <v>33680</v>
      </c>
      <c r="O41" s="80">
        <v>35960</v>
      </c>
      <c r="P41" s="80">
        <v>36970</v>
      </c>
      <c r="Q41" s="80">
        <v>39090</v>
      </c>
      <c r="R41" s="80">
        <v>40540</v>
      </c>
      <c r="S41" s="80">
        <v>39920</v>
      </c>
      <c r="T41" s="80">
        <v>39720</v>
      </c>
      <c r="U41" s="80">
        <v>38580</v>
      </c>
      <c r="V41" s="80">
        <v>38150</v>
      </c>
      <c r="W41" s="80">
        <v>37160</v>
      </c>
      <c r="X41" s="80">
        <v>36700</v>
      </c>
      <c r="Y41" s="80">
        <v>35420</v>
      </c>
      <c r="Z41" s="80">
        <v>34250</v>
      </c>
      <c r="AA41" s="80">
        <v>34860</v>
      </c>
      <c r="AB41" s="80">
        <v>34080</v>
      </c>
      <c r="AC41" s="80">
        <v>32690</v>
      </c>
      <c r="AD41" s="80">
        <v>32330</v>
      </c>
      <c r="AE41" s="80">
        <v>32820</v>
      </c>
      <c r="AF41" s="80">
        <v>32690</v>
      </c>
      <c r="AG41" s="80">
        <v>33370</v>
      </c>
      <c r="AH41" s="80">
        <v>34650</v>
      </c>
      <c r="AI41" s="80">
        <v>35860</v>
      </c>
      <c r="AJ41" s="80">
        <v>35500</v>
      </c>
      <c r="AK41" s="80">
        <v>36380</v>
      </c>
      <c r="AL41" s="80">
        <v>35910</v>
      </c>
      <c r="AM41" s="80">
        <v>35430</v>
      </c>
      <c r="AN41" s="80">
        <v>35020</v>
      </c>
      <c r="AO41" s="80">
        <v>34090</v>
      </c>
      <c r="AP41" s="80">
        <v>34020</v>
      </c>
      <c r="AQ41" s="80">
        <v>34000</v>
      </c>
      <c r="AR41" s="80">
        <v>34470</v>
      </c>
      <c r="AS41" s="80">
        <v>35040</v>
      </c>
      <c r="AT41" s="80">
        <v>35550</v>
      </c>
      <c r="AU41" s="80">
        <v>35990</v>
      </c>
      <c r="AV41" s="80">
        <v>36330</v>
      </c>
      <c r="AW41" s="80">
        <v>36560</v>
      </c>
      <c r="AX41" s="80">
        <v>36700</v>
      </c>
      <c r="AY41" s="80">
        <v>36770</v>
      </c>
      <c r="AZ41" s="80">
        <v>36780</v>
      </c>
      <c r="BA41" s="80">
        <v>36720</v>
      </c>
      <c r="BB41" s="80">
        <v>36610</v>
      </c>
      <c r="BC41" s="80">
        <v>36450</v>
      </c>
      <c r="BD41" s="80">
        <v>36260</v>
      </c>
      <c r="BE41" s="80">
        <v>36040</v>
      </c>
      <c r="BF41" s="80">
        <v>35810</v>
      </c>
      <c r="BG41" s="80">
        <v>35590</v>
      </c>
      <c r="BH41" s="80">
        <v>35380</v>
      </c>
      <c r="BI41" s="80">
        <v>35200</v>
      </c>
      <c r="BJ41" s="80">
        <v>35060</v>
      </c>
      <c r="BK41" s="80">
        <v>34970</v>
      </c>
      <c r="BL41" s="80">
        <v>34930</v>
      </c>
    </row>
    <row r="42" spans="1:64" x14ac:dyDescent="0.2">
      <c r="A42" s="28">
        <v>32</v>
      </c>
      <c r="B42" s="80">
        <v>29960</v>
      </c>
      <c r="C42" s="80">
        <v>28990</v>
      </c>
      <c r="D42" s="80">
        <v>27810</v>
      </c>
      <c r="E42" s="80">
        <v>27780</v>
      </c>
      <c r="F42" s="80">
        <v>27520</v>
      </c>
      <c r="G42" s="80">
        <v>28300</v>
      </c>
      <c r="H42" s="80">
        <v>28140</v>
      </c>
      <c r="I42" s="80">
        <v>28010</v>
      </c>
      <c r="J42" s="80">
        <v>28940</v>
      </c>
      <c r="K42" s="80">
        <v>29850</v>
      </c>
      <c r="L42" s="80">
        <v>30830</v>
      </c>
      <c r="M42" s="80">
        <v>32210</v>
      </c>
      <c r="N42" s="80">
        <v>32930</v>
      </c>
      <c r="O42" s="80">
        <v>34220</v>
      </c>
      <c r="P42" s="80">
        <v>36400</v>
      </c>
      <c r="Q42" s="80">
        <v>37310</v>
      </c>
      <c r="R42" s="80">
        <v>39330</v>
      </c>
      <c r="S42" s="80">
        <v>40780</v>
      </c>
      <c r="T42" s="80">
        <v>40160</v>
      </c>
      <c r="U42" s="80">
        <v>39960</v>
      </c>
      <c r="V42" s="80">
        <v>38820</v>
      </c>
      <c r="W42" s="80">
        <v>38390</v>
      </c>
      <c r="X42" s="80">
        <v>37400</v>
      </c>
      <c r="Y42" s="80">
        <v>36950</v>
      </c>
      <c r="Z42" s="80">
        <v>35670</v>
      </c>
      <c r="AA42" s="80">
        <v>34490</v>
      </c>
      <c r="AB42" s="80">
        <v>35100</v>
      </c>
      <c r="AC42" s="80">
        <v>34330</v>
      </c>
      <c r="AD42" s="80">
        <v>32930</v>
      </c>
      <c r="AE42" s="80">
        <v>32580</v>
      </c>
      <c r="AF42" s="80">
        <v>33060</v>
      </c>
      <c r="AG42" s="80">
        <v>32930</v>
      </c>
      <c r="AH42" s="80">
        <v>33610</v>
      </c>
      <c r="AI42" s="80">
        <v>34890</v>
      </c>
      <c r="AJ42" s="80">
        <v>36100</v>
      </c>
      <c r="AK42" s="80">
        <v>35740</v>
      </c>
      <c r="AL42" s="80">
        <v>36620</v>
      </c>
      <c r="AM42" s="80">
        <v>36150</v>
      </c>
      <c r="AN42" s="80">
        <v>35680</v>
      </c>
      <c r="AO42" s="80">
        <v>35260</v>
      </c>
      <c r="AP42" s="80">
        <v>34330</v>
      </c>
      <c r="AQ42" s="80">
        <v>34260</v>
      </c>
      <c r="AR42" s="80">
        <v>34250</v>
      </c>
      <c r="AS42" s="80">
        <v>34720</v>
      </c>
      <c r="AT42" s="80">
        <v>35290</v>
      </c>
      <c r="AU42" s="80">
        <v>35800</v>
      </c>
      <c r="AV42" s="80">
        <v>36230</v>
      </c>
      <c r="AW42" s="80">
        <v>36570</v>
      </c>
      <c r="AX42" s="80">
        <v>36810</v>
      </c>
      <c r="AY42" s="80">
        <v>36950</v>
      </c>
      <c r="AZ42" s="80">
        <v>37020</v>
      </c>
      <c r="BA42" s="80">
        <v>37020</v>
      </c>
      <c r="BB42" s="80">
        <v>36960</v>
      </c>
      <c r="BC42" s="80">
        <v>36850</v>
      </c>
      <c r="BD42" s="80">
        <v>36700</v>
      </c>
      <c r="BE42" s="80">
        <v>36510</v>
      </c>
      <c r="BF42" s="80">
        <v>36290</v>
      </c>
      <c r="BG42" s="80">
        <v>36060</v>
      </c>
      <c r="BH42" s="80">
        <v>35830</v>
      </c>
      <c r="BI42" s="80">
        <v>35620</v>
      </c>
      <c r="BJ42" s="80">
        <v>35440</v>
      </c>
      <c r="BK42" s="80">
        <v>35310</v>
      </c>
      <c r="BL42" s="80">
        <v>35220</v>
      </c>
    </row>
    <row r="43" spans="1:64" x14ac:dyDescent="0.2">
      <c r="A43" s="28">
        <v>33</v>
      </c>
      <c r="B43" s="80">
        <v>31240</v>
      </c>
      <c r="C43" s="80">
        <v>30280</v>
      </c>
      <c r="D43" s="80">
        <v>29200</v>
      </c>
      <c r="E43" s="80">
        <v>27960</v>
      </c>
      <c r="F43" s="80">
        <v>27980</v>
      </c>
      <c r="G43" s="80">
        <v>27550</v>
      </c>
      <c r="H43" s="80">
        <v>28290</v>
      </c>
      <c r="I43" s="80">
        <v>28140</v>
      </c>
      <c r="J43" s="80">
        <v>28390</v>
      </c>
      <c r="K43" s="80">
        <v>29500</v>
      </c>
      <c r="L43" s="80">
        <v>30490</v>
      </c>
      <c r="M43" s="80">
        <v>31400</v>
      </c>
      <c r="N43" s="80">
        <v>32700</v>
      </c>
      <c r="O43" s="80">
        <v>33340</v>
      </c>
      <c r="P43" s="80">
        <v>34550</v>
      </c>
      <c r="Q43" s="80">
        <v>36650</v>
      </c>
      <c r="R43" s="80">
        <v>37480</v>
      </c>
      <c r="S43" s="80">
        <v>39500</v>
      </c>
      <c r="T43" s="80">
        <v>40940</v>
      </c>
      <c r="U43" s="80">
        <v>40320</v>
      </c>
      <c r="V43" s="80">
        <v>40130</v>
      </c>
      <c r="W43" s="80">
        <v>38980</v>
      </c>
      <c r="X43" s="80">
        <v>38560</v>
      </c>
      <c r="Y43" s="80">
        <v>37570</v>
      </c>
      <c r="Z43" s="80">
        <v>37110</v>
      </c>
      <c r="AA43" s="80">
        <v>35830</v>
      </c>
      <c r="AB43" s="80">
        <v>34660</v>
      </c>
      <c r="AC43" s="80">
        <v>35270</v>
      </c>
      <c r="AD43" s="80">
        <v>34500</v>
      </c>
      <c r="AE43" s="80">
        <v>33100</v>
      </c>
      <c r="AF43" s="80">
        <v>32740</v>
      </c>
      <c r="AG43" s="80">
        <v>33230</v>
      </c>
      <c r="AH43" s="80">
        <v>33100</v>
      </c>
      <c r="AI43" s="80">
        <v>33780</v>
      </c>
      <c r="AJ43" s="80">
        <v>35060</v>
      </c>
      <c r="AK43" s="80">
        <v>36270</v>
      </c>
      <c r="AL43" s="80">
        <v>35910</v>
      </c>
      <c r="AM43" s="80">
        <v>36790</v>
      </c>
      <c r="AN43" s="80">
        <v>36320</v>
      </c>
      <c r="AO43" s="80">
        <v>35850</v>
      </c>
      <c r="AP43" s="80">
        <v>35430</v>
      </c>
      <c r="AQ43" s="80">
        <v>34500</v>
      </c>
      <c r="AR43" s="80">
        <v>34430</v>
      </c>
      <c r="AS43" s="80">
        <v>34420</v>
      </c>
      <c r="AT43" s="80">
        <v>34890</v>
      </c>
      <c r="AU43" s="80">
        <v>35460</v>
      </c>
      <c r="AV43" s="80">
        <v>35970</v>
      </c>
      <c r="AW43" s="80">
        <v>36400</v>
      </c>
      <c r="AX43" s="80">
        <v>36750</v>
      </c>
      <c r="AY43" s="80">
        <v>36980</v>
      </c>
      <c r="AZ43" s="80">
        <v>37120</v>
      </c>
      <c r="BA43" s="80">
        <v>37190</v>
      </c>
      <c r="BB43" s="80">
        <v>37190</v>
      </c>
      <c r="BC43" s="80">
        <v>37140</v>
      </c>
      <c r="BD43" s="80">
        <v>37030</v>
      </c>
      <c r="BE43" s="80">
        <v>36870</v>
      </c>
      <c r="BF43" s="80">
        <v>36680</v>
      </c>
      <c r="BG43" s="80">
        <v>36460</v>
      </c>
      <c r="BH43" s="80">
        <v>36230</v>
      </c>
      <c r="BI43" s="80">
        <v>36010</v>
      </c>
      <c r="BJ43" s="80">
        <v>35800</v>
      </c>
      <c r="BK43" s="80">
        <v>35620</v>
      </c>
      <c r="BL43" s="80">
        <v>35480</v>
      </c>
    </row>
    <row r="44" spans="1:64" x14ac:dyDescent="0.2">
      <c r="A44" s="28">
        <v>34</v>
      </c>
      <c r="B44" s="80">
        <v>32740</v>
      </c>
      <c r="C44" s="80">
        <v>31520</v>
      </c>
      <c r="D44" s="80">
        <v>30510</v>
      </c>
      <c r="E44" s="80">
        <v>29420</v>
      </c>
      <c r="F44" s="80">
        <v>28160</v>
      </c>
      <c r="G44" s="80">
        <v>28030</v>
      </c>
      <c r="H44" s="80">
        <v>27560</v>
      </c>
      <c r="I44" s="80">
        <v>28290</v>
      </c>
      <c r="J44" s="80">
        <v>28410</v>
      </c>
      <c r="K44" s="80">
        <v>28850</v>
      </c>
      <c r="L44" s="80">
        <v>30060</v>
      </c>
      <c r="M44" s="80">
        <v>31010</v>
      </c>
      <c r="N44" s="80">
        <v>31850</v>
      </c>
      <c r="O44" s="80">
        <v>33070</v>
      </c>
      <c r="P44" s="80">
        <v>33640</v>
      </c>
      <c r="Q44" s="80">
        <v>34780</v>
      </c>
      <c r="R44" s="80">
        <v>36810</v>
      </c>
      <c r="S44" s="80">
        <v>37640</v>
      </c>
      <c r="T44" s="80">
        <v>39660</v>
      </c>
      <c r="U44" s="80">
        <v>41100</v>
      </c>
      <c r="V44" s="80">
        <v>40480</v>
      </c>
      <c r="W44" s="80">
        <v>40290</v>
      </c>
      <c r="X44" s="80">
        <v>39140</v>
      </c>
      <c r="Y44" s="80">
        <v>38720</v>
      </c>
      <c r="Z44" s="80">
        <v>37730</v>
      </c>
      <c r="AA44" s="80">
        <v>37280</v>
      </c>
      <c r="AB44" s="80">
        <v>36000</v>
      </c>
      <c r="AC44" s="80">
        <v>34820</v>
      </c>
      <c r="AD44" s="80">
        <v>35440</v>
      </c>
      <c r="AE44" s="80">
        <v>34660</v>
      </c>
      <c r="AF44" s="80">
        <v>33270</v>
      </c>
      <c r="AG44" s="80">
        <v>32910</v>
      </c>
      <c r="AH44" s="80">
        <v>33400</v>
      </c>
      <c r="AI44" s="80">
        <v>33270</v>
      </c>
      <c r="AJ44" s="80">
        <v>33950</v>
      </c>
      <c r="AK44" s="80">
        <v>35230</v>
      </c>
      <c r="AL44" s="80">
        <v>36440</v>
      </c>
      <c r="AM44" s="80">
        <v>36080</v>
      </c>
      <c r="AN44" s="80">
        <v>36960</v>
      </c>
      <c r="AO44" s="80">
        <v>36490</v>
      </c>
      <c r="AP44" s="80">
        <v>36020</v>
      </c>
      <c r="AQ44" s="80">
        <v>35600</v>
      </c>
      <c r="AR44" s="80">
        <v>34670</v>
      </c>
      <c r="AS44" s="80">
        <v>34600</v>
      </c>
      <c r="AT44" s="80">
        <v>34590</v>
      </c>
      <c r="AU44" s="80">
        <v>35060</v>
      </c>
      <c r="AV44" s="80">
        <v>35630</v>
      </c>
      <c r="AW44" s="80">
        <v>36140</v>
      </c>
      <c r="AX44" s="80">
        <v>36570</v>
      </c>
      <c r="AY44" s="80">
        <v>36910</v>
      </c>
      <c r="AZ44" s="80">
        <v>37150</v>
      </c>
      <c r="BA44" s="80">
        <v>37290</v>
      </c>
      <c r="BB44" s="80">
        <v>37360</v>
      </c>
      <c r="BC44" s="80">
        <v>37360</v>
      </c>
      <c r="BD44" s="80">
        <v>37310</v>
      </c>
      <c r="BE44" s="80">
        <v>37200</v>
      </c>
      <c r="BF44" s="80">
        <v>37040</v>
      </c>
      <c r="BG44" s="80">
        <v>36850</v>
      </c>
      <c r="BH44" s="80">
        <v>36630</v>
      </c>
      <c r="BI44" s="80">
        <v>36400</v>
      </c>
      <c r="BJ44" s="80">
        <v>36180</v>
      </c>
      <c r="BK44" s="80">
        <v>35970</v>
      </c>
      <c r="BL44" s="80">
        <v>35790</v>
      </c>
    </row>
    <row r="45" spans="1:64" x14ac:dyDescent="0.2">
      <c r="A45" s="28">
        <v>35</v>
      </c>
      <c r="B45" s="80">
        <v>33360</v>
      </c>
      <c r="C45" s="80">
        <v>33040</v>
      </c>
      <c r="D45" s="80">
        <v>31710</v>
      </c>
      <c r="E45" s="80">
        <v>30800</v>
      </c>
      <c r="F45" s="80">
        <v>29620</v>
      </c>
      <c r="G45" s="80">
        <v>28240</v>
      </c>
      <c r="H45" s="80">
        <v>28000</v>
      </c>
      <c r="I45" s="80">
        <v>27630</v>
      </c>
      <c r="J45" s="80">
        <v>28590</v>
      </c>
      <c r="K45" s="80">
        <v>28760</v>
      </c>
      <c r="L45" s="80">
        <v>29350</v>
      </c>
      <c r="M45" s="80">
        <v>30520</v>
      </c>
      <c r="N45" s="80">
        <v>31410</v>
      </c>
      <c r="O45" s="80">
        <v>32180</v>
      </c>
      <c r="P45" s="80">
        <v>33350</v>
      </c>
      <c r="Q45" s="80">
        <v>33860</v>
      </c>
      <c r="R45" s="80">
        <v>34940</v>
      </c>
      <c r="S45" s="80">
        <v>36960</v>
      </c>
      <c r="T45" s="80">
        <v>37790</v>
      </c>
      <c r="U45" s="80">
        <v>39810</v>
      </c>
      <c r="V45" s="80">
        <v>41260</v>
      </c>
      <c r="W45" s="80">
        <v>40640</v>
      </c>
      <c r="X45" s="80">
        <v>40440</v>
      </c>
      <c r="Y45" s="80">
        <v>39300</v>
      </c>
      <c r="Z45" s="80">
        <v>38870</v>
      </c>
      <c r="AA45" s="80">
        <v>37890</v>
      </c>
      <c r="AB45" s="80">
        <v>37430</v>
      </c>
      <c r="AC45" s="80">
        <v>36160</v>
      </c>
      <c r="AD45" s="80">
        <v>34980</v>
      </c>
      <c r="AE45" s="80">
        <v>35590</v>
      </c>
      <c r="AF45" s="80">
        <v>34820</v>
      </c>
      <c r="AG45" s="80">
        <v>33420</v>
      </c>
      <c r="AH45" s="80">
        <v>33070</v>
      </c>
      <c r="AI45" s="80">
        <v>33550</v>
      </c>
      <c r="AJ45" s="80">
        <v>33430</v>
      </c>
      <c r="AK45" s="80">
        <v>34110</v>
      </c>
      <c r="AL45" s="80">
        <v>35390</v>
      </c>
      <c r="AM45" s="80">
        <v>36590</v>
      </c>
      <c r="AN45" s="80">
        <v>36240</v>
      </c>
      <c r="AO45" s="80">
        <v>37110</v>
      </c>
      <c r="AP45" s="80">
        <v>36650</v>
      </c>
      <c r="AQ45" s="80">
        <v>36170</v>
      </c>
      <c r="AR45" s="80">
        <v>35760</v>
      </c>
      <c r="AS45" s="80">
        <v>34830</v>
      </c>
      <c r="AT45" s="80">
        <v>34760</v>
      </c>
      <c r="AU45" s="80">
        <v>34750</v>
      </c>
      <c r="AV45" s="80">
        <v>35220</v>
      </c>
      <c r="AW45" s="80">
        <v>35790</v>
      </c>
      <c r="AX45" s="80">
        <v>36300</v>
      </c>
      <c r="AY45" s="80">
        <v>36730</v>
      </c>
      <c r="AZ45" s="80">
        <v>37080</v>
      </c>
      <c r="BA45" s="80">
        <v>37310</v>
      </c>
      <c r="BB45" s="80">
        <v>37450</v>
      </c>
      <c r="BC45" s="80">
        <v>37520</v>
      </c>
      <c r="BD45" s="80">
        <v>37520</v>
      </c>
      <c r="BE45" s="80">
        <v>37470</v>
      </c>
      <c r="BF45" s="80">
        <v>37360</v>
      </c>
      <c r="BG45" s="80">
        <v>37200</v>
      </c>
      <c r="BH45" s="80">
        <v>37010</v>
      </c>
      <c r="BI45" s="80">
        <v>36800</v>
      </c>
      <c r="BJ45" s="80">
        <v>36570</v>
      </c>
      <c r="BK45" s="80">
        <v>36340</v>
      </c>
      <c r="BL45" s="80">
        <v>36130</v>
      </c>
    </row>
    <row r="46" spans="1:64" x14ac:dyDescent="0.2">
      <c r="A46" s="28">
        <v>36</v>
      </c>
      <c r="B46" s="80">
        <v>32520</v>
      </c>
      <c r="C46" s="80">
        <v>33680</v>
      </c>
      <c r="D46" s="80">
        <v>33230</v>
      </c>
      <c r="E46" s="80">
        <v>31930</v>
      </c>
      <c r="F46" s="80">
        <v>30980</v>
      </c>
      <c r="G46" s="80">
        <v>29690</v>
      </c>
      <c r="H46" s="80">
        <v>28210</v>
      </c>
      <c r="I46" s="80">
        <v>28060</v>
      </c>
      <c r="J46" s="80">
        <v>27840</v>
      </c>
      <c r="K46" s="80">
        <v>28890</v>
      </c>
      <c r="L46" s="80">
        <v>29220</v>
      </c>
      <c r="M46" s="80">
        <v>29760</v>
      </c>
      <c r="N46" s="80">
        <v>30880</v>
      </c>
      <c r="O46" s="80">
        <v>31710</v>
      </c>
      <c r="P46" s="80">
        <v>32430</v>
      </c>
      <c r="Q46" s="80">
        <v>33540</v>
      </c>
      <c r="R46" s="80">
        <v>34000</v>
      </c>
      <c r="S46" s="80">
        <v>35070</v>
      </c>
      <c r="T46" s="80">
        <v>37100</v>
      </c>
      <c r="U46" s="80">
        <v>37930</v>
      </c>
      <c r="V46" s="80">
        <v>39950</v>
      </c>
      <c r="W46" s="80">
        <v>41390</v>
      </c>
      <c r="X46" s="80">
        <v>40770</v>
      </c>
      <c r="Y46" s="80">
        <v>40580</v>
      </c>
      <c r="Z46" s="80">
        <v>39440</v>
      </c>
      <c r="AA46" s="80">
        <v>39010</v>
      </c>
      <c r="AB46" s="80">
        <v>38020</v>
      </c>
      <c r="AC46" s="80">
        <v>37570</v>
      </c>
      <c r="AD46" s="80">
        <v>36300</v>
      </c>
      <c r="AE46" s="80">
        <v>35120</v>
      </c>
      <c r="AF46" s="80">
        <v>35740</v>
      </c>
      <c r="AG46" s="80">
        <v>34960</v>
      </c>
      <c r="AH46" s="80">
        <v>33570</v>
      </c>
      <c r="AI46" s="80">
        <v>33210</v>
      </c>
      <c r="AJ46" s="80">
        <v>33700</v>
      </c>
      <c r="AK46" s="80">
        <v>33570</v>
      </c>
      <c r="AL46" s="80">
        <v>34250</v>
      </c>
      <c r="AM46" s="80">
        <v>35530</v>
      </c>
      <c r="AN46" s="80">
        <v>36740</v>
      </c>
      <c r="AO46" s="80">
        <v>36380</v>
      </c>
      <c r="AP46" s="80">
        <v>37260</v>
      </c>
      <c r="AQ46" s="80">
        <v>36790</v>
      </c>
      <c r="AR46" s="80">
        <v>36320</v>
      </c>
      <c r="AS46" s="80">
        <v>35910</v>
      </c>
      <c r="AT46" s="80">
        <v>34980</v>
      </c>
      <c r="AU46" s="80">
        <v>34900</v>
      </c>
      <c r="AV46" s="80">
        <v>34900</v>
      </c>
      <c r="AW46" s="80">
        <v>35360</v>
      </c>
      <c r="AX46" s="80">
        <v>35930</v>
      </c>
      <c r="AY46" s="80">
        <v>36440</v>
      </c>
      <c r="AZ46" s="80">
        <v>36880</v>
      </c>
      <c r="BA46" s="80">
        <v>37220</v>
      </c>
      <c r="BB46" s="80">
        <v>37450</v>
      </c>
      <c r="BC46" s="80">
        <v>37590</v>
      </c>
      <c r="BD46" s="80">
        <v>37670</v>
      </c>
      <c r="BE46" s="80">
        <v>37670</v>
      </c>
      <c r="BF46" s="80">
        <v>37610</v>
      </c>
      <c r="BG46" s="80">
        <v>37500</v>
      </c>
      <c r="BH46" s="80">
        <v>37350</v>
      </c>
      <c r="BI46" s="80">
        <v>37160</v>
      </c>
      <c r="BJ46" s="80">
        <v>36940</v>
      </c>
      <c r="BK46" s="80">
        <v>36710</v>
      </c>
      <c r="BL46" s="80">
        <v>36490</v>
      </c>
    </row>
    <row r="47" spans="1:64" x14ac:dyDescent="0.2">
      <c r="A47" s="28">
        <v>37</v>
      </c>
      <c r="B47" s="80">
        <v>32870</v>
      </c>
      <c r="C47" s="80">
        <v>32750</v>
      </c>
      <c r="D47" s="80">
        <v>33850</v>
      </c>
      <c r="E47" s="80">
        <v>33430</v>
      </c>
      <c r="F47" s="80">
        <v>32100</v>
      </c>
      <c r="G47" s="80">
        <v>30990</v>
      </c>
      <c r="H47" s="80">
        <v>29700</v>
      </c>
      <c r="I47" s="80">
        <v>28300</v>
      </c>
      <c r="J47" s="80">
        <v>28270</v>
      </c>
      <c r="K47" s="80">
        <v>28050</v>
      </c>
      <c r="L47" s="80">
        <v>29290</v>
      </c>
      <c r="M47" s="80">
        <v>29590</v>
      </c>
      <c r="N47" s="80">
        <v>30090</v>
      </c>
      <c r="O47" s="80">
        <v>31160</v>
      </c>
      <c r="P47" s="80">
        <v>31930</v>
      </c>
      <c r="Q47" s="80">
        <v>32600</v>
      </c>
      <c r="R47" s="80">
        <v>33660</v>
      </c>
      <c r="S47" s="80">
        <v>34120</v>
      </c>
      <c r="T47" s="80">
        <v>35190</v>
      </c>
      <c r="U47" s="80">
        <v>37220</v>
      </c>
      <c r="V47" s="80">
        <v>38050</v>
      </c>
      <c r="W47" s="80">
        <v>40060</v>
      </c>
      <c r="X47" s="80">
        <v>41510</v>
      </c>
      <c r="Y47" s="80">
        <v>40890</v>
      </c>
      <c r="Z47" s="80">
        <v>40700</v>
      </c>
      <c r="AA47" s="80">
        <v>39560</v>
      </c>
      <c r="AB47" s="80">
        <v>39130</v>
      </c>
      <c r="AC47" s="80">
        <v>38150</v>
      </c>
      <c r="AD47" s="80">
        <v>37690</v>
      </c>
      <c r="AE47" s="80">
        <v>36420</v>
      </c>
      <c r="AF47" s="80">
        <v>35240</v>
      </c>
      <c r="AG47" s="80">
        <v>35860</v>
      </c>
      <c r="AH47" s="80">
        <v>35090</v>
      </c>
      <c r="AI47" s="80">
        <v>33690</v>
      </c>
      <c r="AJ47" s="80">
        <v>33340</v>
      </c>
      <c r="AK47" s="80">
        <v>33820</v>
      </c>
      <c r="AL47" s="80">
        <v>33700</v>
      </c>
      <c r="AM47" s="80">
        <v>34370</v>
      </c>
      <c r="AN47" s="80">
        <v>35660</v>
      </c>
      <c r="AO47" s="80">
        <v>36860</v>
      </c>
      <c r="AP47" s="80">
        <v>36510</v>
      </c>
      <c r="AQ47" s="80">
        <v>37380</v>
      </c>
      <c r="AR47" s="80">
        <v>36920</v>
      </c>
      <c r="AS47" s="80">
        <v>36440</v>
      </c>
      <c r="AT47" s="80">
        <v>36030</v>
      </c>
      <c r="AU47" s="80">
        <v>35100</v>
      </c>
      <c r="AV47" s="80">
        <v>35030</v>
      </c>
      <c r="AW47" s="80">
        <v>35020</v>
      </c>
      <c r="AX47" s="80">
        <v>35490</v>
      </c>
      <c r="AY47" s="80">
        <v>36060</v>
      </c>
      <c r="AZ47" s="80">
        <v>36570</v>
      </c>
      <c r="BA47" s="80">
        <v>37010</v>
      </c>
      <c r="BB47" s="80">
        <v>37350</v>
      </c>
      <c r="BC47" s="80">
        <v>37580</v>
      </c>
      <c r="BD47" s="80">
        <v>37720</v>
      </c>
      <c r="BE47" s="80">
        <v>37790</v>
      </c>
      <c r="BF47" s="80">
        <v>37800</v>
      </c>
      <c r="BG47" s="80">
        <v>37740</v>
      </c>
      <c r="BH47" s="80">
        <v>37630</v>
      </c>
      <c r="BI47" s="80">
        <v>37480</v>
      </c>
      <c r="BJ47" s="80">
        <v>37290</v>
      </c>
      <c r="BK47" s="80">
        <v>37070</v>
      </c>
      <c r="BL47" s="80">
        <v>36840</v>
      </c>
    </row>
    <row r="48" spans="1:64" x14ac:dyDescent="0.2">
      <c r="A48" s="28">
        <v>38</v>
      </c>
      <c r="B48" s="80">
        <v>32450</v>
      </c>
      <c r="C48" s="80">
        <v>33080</v>
      </c>
      <c r="D48" s="80">
        <v>32830</v>
      </c>
      <c r="E48" s="80">
        <v>34000</v>
      </c>
      <c r="F48" s="80">
        <v>33580</v>
      </c>
      <c r="G48" s="80">
        <v>32190</v>
      </c>
      <c r="H48" s="80">
        <v>30960</v>
      </c>
      <c r="I48" s="80">
        <v>29790</v>
      </c>
      <c r="J48" s="80">
        <v>28420</v>
      </c>
      <c r="K48" s="80">
        <v>28590</v>
      </c>
      <c r="L48" s="80">
        <v>28390</v>
      </c>
      <c r="M48" s="80">
        <v>29620</v>
      </c>
      <c r="N48" s="80">
        <v>29880</v>
      </c>
      <c r="O48" s="80">
        <v>30330</v>
      </c>
      <c r="P48" s="80">
        <v>31350</v>
      </c>
      <c r="Q48" s="80">
        <v>32080</v>
      </c>
      <c r="R48" s="80">
        <v>32710</v>
      </c>
      <c r="S48" s="80">
        <v>33770</v>
      </c>
      <c r="T48" s="80">
        <v>34220</v>
      </c>
      <c r="U48" s="80">
        <v>35300</v>
      </c>
      <c r="V48" s="80">
        <v>37320</v>
      </c>
      <c r="W48" s="80">
        <v>38150</v>
      </c>
      <c r="X48" s="80">
        <v>40170</v>
      </c>
      <c r="Y48" s="80">
        <v>41610</v>
      </c>
      <c r="Z48" s="80">
        <v>40990</v>
      </c>
      <c r="AA48" s="80">
        <v>40800</v>
      </c>
      <c r="AB48" s="80">
        <v>39660</v>
      </c>
      <c r="AC48" s="80">
        <v>39240</v>
      </c>
      <c r="AD48" s="80">
        <v>38250</v>
      </c>
      <c r="AE48" s="80">
        <v>37800</v>
      </c>
      <c r="AF48" s="80">
        <v>36520</v>
      </c>
      <c r="AG48" s="80">
        <v>35350</v>
      </c>
      <c r="AH48" s="80">
        <v>35970</v>
      </c>
      <c r="AI48" s="80">
        <v>35190</v>
      </c>
      <c r="AJ48" s="80">
        <v>33800</v>
      </c>
      <c r="AK48" s="80">
        <v>33450</v>
      </c>
      <c r="AL48" s="80">
        <v>33930</v>
      </c>
      <c r="AM48" s="80">
        <v>33800</v>
      </c>
      <c r="AN48" s="80">
        <v>34480</v>
      </c>
      <c r="AO48" s="80">
        <v>35770</v>
      </c>
      <c r="AP48" s="80">
        <v>36970</v>
      </c>
      <c r="AQ48" s="80">
        <v>36620</v>
      </c>
      <c r="AR48" s="80">
        <v>37490</v>
      </c>
      <c r="AS48" s="80">
        <v>37030</v>
      </c>
      <c r="AT48" s="80">
        <v>36550</v>
      </c>
      <c r="AU48" s="80">
        <v>36140</v>
      </c>
      <c r="AV48" s="80">
        <v>35210</v>
      </c>
      <c r="AW48" s="80">
        <v>35140</v>
      </c>
      <c r="AX48" s="80">
        <v>35130</v>
      </c>
      <c r="AY48" s="80">
        <v>35600</v>
      </c>
      <c r="AZ48" s="80">
        <v>36170</v>
      </c>
      <c r="BA48" s="80">
        <v>36680</v>
      </c>
      <c r="BB48" s="80">
        <v>37120</v>
      </c>
      <c r="BC48" s="80">
        <v>37460</v>
      </c>
      <c r="BD48" s="80">
        <v>37690</v>
      </c>
      <c r="BE48" s="80">
        <v>37830</v>
      </c>
      <c r="BF48" s="80">
        <v>37910</v>
      </c>
      <c r="BG48" s="80">
        <v>37910</v>
      </c>
      <c r="BH48" s="80">
        <v>37850</v>
      </c>
      <c r="BI48" s="80">
        <v>37750</v>
      </c>
      <c r="BJ48" s="80">
        <v>37590</v>
      </c>
      <c r="BK48" s="80">
        <v>37400</v>
      </c>
      <c r="BL48" s="80">
        <v>37190</v>
      </c>
    </row>
    <row r="49" spans="1:64" x14ac:dyDescent="0.2">
      <c r="A49" s="28">
        <v>39</v>
      </c>
      <c r="B49" s="80">
        <v>32220</v>
      </c>
      <c r="C49" s="80">
        <v>32560</v>
      </c>
      <c r="D49" s="80">
        <v>33200</v>
      </c>
      <c r="E49" s="80">
        <v>32960</v>
      </c>
      <c r="F49" s="80">
        <v>34140</v>
      </c>
      <c r="G49" s="80">
        <v>33600</v>
      </c>
      <c r="H49" s="80">
        <v>32280</v>
      </c>
      <c r="I49" s="80">
        <v>31070</v>
      </c>
      <c r="J49" s="80">
        <v>29910</v>
      </c>
      <c r="K49" s="80">
        <v>28640</v>
      </c>
      <c r="L49" s="80">
        <v>28910</v>
      </c>
      <c r="M49" s="80">
        <v>28690</v>
      </c>
      <c r="N49" s="80">
        <v>29880</v>
      </c>
      <c r="O49" s="80">
        <v>30100</v>
      </c>
      <c r="P49" s="80">
        <v>30500</v>
      </c>
      <c r="Q49" s="80">
        <v>31480</v>
      </c>
      <c r="R49" s="80">
        <v>32170</v>
      </c>
      <c r="S49" s="80">
        <v>32790</v>
      </c>
      <c r="T49" s="80">
        <v>33850</v>
      </c>
      <c r="U49" s="80">
        <v>34310</v>
      </c>
      <c r="V49" s="80">
        <v>35380</v>
      </c>
      <c r="W49" s="80">
        <v>37410</v>
      </c>
      <c r="X49" s="80">
        <v>38240</v>
      </c>
      <c r="Y49" s="80">
        <v>40250</v>
      </c>
      <c r="Z49" s="80">
        <v>41700</v>
      </c>
      <c r="AA49" s="80">
        <v>41080</v>
      </c>
      <c r="AB49" s="80">
        <v>40890</v>
      </c>
      <c r="AC49" s="80">
        <v>39750</v>
      </c>
      <c r="AD49" s="80">
        <v>39320</v>
      </c>
      <c r="AE49" s="80">
        <v>38340</v>
      </c>
      <c r="AF49" s="80">
        <v>37890</v>
      </c>
      <c r="AG49" s="80">
        <v>36610</v>
      </c>
      <c r="AH49" s="80">
        <v>35440</v>
      </c>
      <c r="AI49" s="80">
        <v>36060</v>
      </c>
      <c r="AJ49" s="80">
        <v>35280</v>
      </c>
      <c r="AK49" s="80">
        <v>33890</v>
      </c>
      <c r="AL49" s="80">
        <v>33540</v>
      </c>
      <c r="AM49" s="80">
        <v>34020</v>
      </c>
      <c r="AN49" s="80">
        <v>33900</v>
      </c>
      <c r="AO49" s="80">
        <v>34580</v>
      </c>
      <c r="AP49" s="80">
        <v>35860</v>
      </c>
      <c r="AQ49" s="80">
        <v>37060</v>
      </c>
      <c r="AR49" s="80">
        <v>36710</v>
      </c>
      <c r="AS49" s="80">
        <v>37580</v>
      </c>
      <c r="AT49" s="80">
        <v>37120</v>
      </c>
      <c r="AU49" s="80">
        <v>36650</v>
      </c>
      <c r="AV49" s="80">
        <v>36240</v>
      </c>
      <c r="AW49" s="80">
        <v>35310</v>
      </c>
      <c r="AX49" s="80">
        <v>35240</v>
      </c>
      <c r="AY49" s="80">
        <v>35230</v>
      </c>
      <c r="AZ49" s="80">
        <v>35700</v>
      </c>
      <c r="BA49" s="80">
        <v>36270</v>
      </c>
      <c r="BB49" s="80">
        <v>36780</v>
      </c>
      <c r="BC49" s="80">
        <v>37210</v>
      </c>
      <c r="BD49" s="80">
        <v>37560</v>
      </c>
      <c r="BE49" s="80">
        <v>37790</v>
      </c>
      <c r="BF49" s="80">
        <v>37930</v>
      </c>
      <c r="BG49" s="80">
        <v>38000</v>
      </c>
      <c r="BH49" s="80">
        <v>38010</v>
      </c>
      <c r="BI49" s="80">
        <v>37950</v>
      </c>
      <c r="BJ49" s="80">
        <v>37840</v>
      </c>
      <c r="BK49" s="80">
        <v>37690</v>
      </c>
      <c r="BL49" s="80">
        <v>37500</v>
      </c>
    </row>
    <row r="50" spans="1:64" x14ac:dyDescent="0.2">
      <c r="A50" s="28">
        <v>40</v>
      </c>
      <c r="B50" s="80">
        <v>32020</v>
      </c>
      <c r="C50" s="80">
        <v>32380</v>
      </c>
      <c r="D50" s="80">
        <v>32680</v>
      </c>
      <c r="E50" s="80">
        <v>33300</v>
      </c>
      <c r="F50" s="80">
        <v>33100</v>
      </c>
      <c r="G50" s="80">
        <v>34190</v>
      </c>
      <c r="H50" s="80">
        <v>33550</v>
      </c>
      <c r="I50" s="80">
        <v>32360</v>
      </c>
      <c r="J50" s="80">
        <v>31240</v>
      </c>
      <c r="K50" s="80">
        <v>30130</v>
      </c>
      <c r="L50" s="80">
        <v>28870</v>
      </c>
      <c r="M50" s="80">
        <v>29180</v>
      </c>
      <c r="N50" s="80">
        <v>28920</v>
      </c>
      <c r="O50" s="80">
        <v>30070</v>
      </c>
      <c r="P50" s="80">
        <v>30240</v>
      </c>
      <c r="Q50" s="80">
        <v>30610</v>
      </c>
      <c r="R50" s="80">
        <v>31550</v>
      </c>
      <c r="S50" s="80">
        <v>32240</v>
      </c>
      <c r="T50" s="80">
        <v>32860</v>
      </c>
      <c r="U50" s="80">
        <v>33920</v>
      </c>
      <c r="V50" s="80">
        <v>34380</v>
      </c>
      <c r="W50" s="80">
        <v>35450</v>
      </c>
      <c r="X50" s="80">
        <v>37480</v>
      </c>
      <c r="Y50" s="80">
        <v>38310</v>
      </c>
      <c r="Z50" s="80">
        <v>40320</v>
      </c>
      <c r="AA50" s="80">
        <v>41760</v>
      </c>
      <c r="AB50" s="80">
        <v>41150</v>
      </c>
      <c r="AC50" s="80">
        <v>40950</v>
      </c>
      <c r="AD50" s="80">
        <v>39810</v>
      </c>
      <c r="AE50" s="80">
        <v>39390</v>
      </c>
      <c r="AF50" s="80">
        <v>38410</v>
      </c>
      <c r="AG50" s="80">
        <v>37960</v>
      </c>
      <c r="AH50" s="80">
        <v>36690</v>
      </c>
      <c r="AI50" s="80">
        <v>35520</v>
      </c>
      <c r="AJ50" s="80">
        <v>36130</v>
      </c>
      <c r="AK50" s="80">
        <v>35360</v>
      </c>
      <c r="AL50" s="80">
        <v>33970</v>
      </c>
      <c r="AM50" s="80">
        <v>33620</v>
      </c>
      <c r="AN50" s="80">
        <v>34100</v>
      </c>
      <c r="AO50" s="80">
        <v>33970</v>
      </c>
      <c r="AP50" s="80">
        <v>34650</v>
      </c>
      <c r="AQ50" s="80">
        <v>35930</v>
      </c>
      <c r="AR50" s="80">
        <v>37140</v>
      </c>
      <c r="AS50" s="80">
        <v>36790</v>
      </c>
      <c r="AT50" s="80">
        <v>37660</v>
      </c>
      <c r="AU50" s="80">
        <v>37200</v>
      </c>
      <c r="AV50" s="80">
        <v>36720</v>
      </c>
      <c r="AW50" s="80">
        <v>36310</v>
      </c>
      <c r="AX50" s="80">
        <v>35390</v>
      </c>
      <c r="AY50" s="80">
        <v>35320</v>
      </c>
      <c r="AZ50" s="80">
        <v>35310</v>
      </c>
      <c r="BA50" s="80">
        <v>35770</v>
      </c>
      <c r="BB50" s="80">
        <v>36340</v>
      </c>
      <c r="BC50" s="80">
        <v>36850</v>
      </c>
      <c r="BD50" s="80">
        <v>37290</v>
      </c>
      <c r="BE50" s="80">
        <v>37630</v>
      </c>
      <c r="BF50" s="80">
        <v>37870</v>
      </c>
      <c r="BG50" s="80">
        <v>38010</v>
      </c>
      <c r="BH50" s="80">
        <v>38080</v>
      </c>
      <c r="BI50" s="80">
        <v>38090</v>
      </c>
      <c r="BJ50" s="80">
        <v>38030</v>
      </c>
      <c r="BK50" s="80">
        <v>37920</v>
      </c>
      <c r="BL50" s="80">
        <v>37770</v>
      </c>
    </row>
    <row r="51" spans="1:64" x14ac:dyDescent="0.2">
      <c r="A51" s="28">
        <v>41</v>
      </c>
      <c r="B51" s="80">
        <v>32420</v>
      </c>
      <c r="C51" s="80">
        <v>32110</v>
      </c>
      <c r="D51" s="80">
        <v>32440</v>
      </c>
      <c r="E51" s="80">
        <v>32740</v>
      </c>
      <c r="F51" s="80">
        <v>33370</v>
      </c>
      <c r="G51" s="80">
        <v>33100</v>
      </c>
      <c r="H51" s="80">
        <v>34190</v>
      </c>
      <c r="I51" s="80">
        <v>33550</v>
      </c>
      <c r="J51" s="80">
        <v>32450</v>
      </c>
      <c r="K51" s="80">
        <v>31430</v>
      </c>
      <c r="L51" s="80">
        <v>30390</v>
      </c>
      <c r="M51" s="80">
        <v>29110</v>
      </c>
      <c r="N51" s="80">
        <v>29380</v>
      </c>
      <c r="O51" s="80">
        <v>29080</v>
      </c>
      <c r="P51" s="80">
        <v>30190</v>
      </c>
      <c r="Q51" s="80">
        <v>30330</v>
      </c>
      <c r="R51" s="80">
        <v>30660</v>
      </c>
      <c r="S51" s="80">
        <v>31600</v>
      </c>
      <c r="T51" s="80">
        <v>32290</v>
      </c>
      <c r="U51" s="80">
        <v>32920</v>
      </c>
      <c r="V51" s="80">
        <v>33980</v>
      </c>
      <c r="W51" s="80">
        <v>34430</v>
      </c>
      <c r="X51" s="80">
        <v>35510</v>
      </c>
      <c r="Y51" s="80">
        <v>37530</v>
      </c>
      <c r="Z51" s="80">
        <v>38360</v>
      </c>
      <c r="AA51" s="80">
        <v>40370</v>
      </c>
      <c r="AB51" s="80">
        <v>41810</v>
      </c>
      <c r="AC51" s="80">
        <v>41200</v>
      </c>
      <c r="AD51" s="80">
        <v>41010</v>
      </c>
      <c r="AE51" s="80">
        <v>39870</v>
      </c>
      <c r="AF51" s="80">
        <v>39450</v>
      </c>
      <c r="AG51" s="80">
        <v>38460</v>
      </c>
      <c r="AH51" s="80">
        <v>38010</v>
      </c>
      <c r="AI51" s="80">
        <v>36740</v>
      </c>
      <c r="AJ51" s="80">
        <v>35570</v>
      </c>
      <c r="AK51" s="80">
        <v>36190</v>
      </c>
      <c r="AL51" s="80">
        <v>35420</v>
      </c>
      <c r="AM51" s="80">
        <v>34030</v>
      </c>
      <c r="AN51" s="80">
        <v>33680</v>
      </c>
      <c r="AO51" s="80">
        <v>34160</v>
      </c>
      <c r="AP51" s="80">
        <v>34030</v>
      </c>
      <c r="AQ51" s="80">
        <v>34710</v>
      </c>
      <c r="AR51" s="80">
        <v>35990</v>
      </c>
      <c r="AS51" s="80">
        <v>37200</v>
      </c>
      <c r="AT51" s="80">
        <v>36850</v>
      </c>
      <c r="AU51" s="80">
        <v>37720</v>
      </c>
      <c r="AV51" s="80">
        <v>37260</v>
      </c>
      <c r="AW51" s="80">
        <v>36790</v>
      </c>
      <c r="AX51" s="80">
        <v>36380</v>
      </c>
      <c r="AY51" s="80">
        <v>35450</v>
      </c>
      <c r="AZ51" s="80">
        <v>35380</v>
      </c>
      <c r="BA51" s="80">
        <v>35370</v>
      </c>
      <c r="BB51" s="80">
        <v>35840</v>
      </c>
      <c r="BC51" s="80">
        <v>36410</v>
      </c>
      <c r="BD51" s="80">
        <v>36920</v>
      </c>
      <c r="BE51" s="80">
        <v>37350</v>
      </c>
      <c r="BF51" s="80">
        <v>37700</v>
      </c>
      <c r="BG51" s="80">
        <v>37930</v>
      </c>
      <c r="BH51" s="80">
        <v>38070</v>
      </c>
      <c r="BI51" s="80">
        <v>38150</v>
      </c>
      <c r="BJ51" s="80">
        <v>38150</v>
      </c>
      <c r="BK51" s="80">
        <v>38100</v>
      </c>
      <c r="BL51" s="80">
        <v>37990</v>
      </c>
    </row>
    <row r="52" spans="1:64" x14ac:dyDescent="0.2">
      <c r="A52" s="28">
        <v>42</v>
      </c>
      <c r="B52" s="80">
        <v>33510</v>
      </c>
      <c r="C52" s="80">
        <v>32510</v>
      </c>
      <c r="D52" s="80">
        <v>32160</v>
      </c>
      <c r="E52" s="80">
        <v>32460</v>
      </c>
      <c r="F52" s="80">
        <v>32800</v>
      </c>
      <c r="G52" s="80">
        <v>33360</v>
      </c>
      <c r="H52" s="80">
        <v>33050</v>
      </c>
      <c r="I52" s="80">
        <v>34240</v>
      </c>
      <c r="J52" s="80">
        <v>33630</v>
      </c>
      <c r="K52" s="80">
        <v>32610</v>
      </c>
      <c r="L52" s="80">
        <v>31660</v>
      </c>
      <c r="M52" s="80">
        <v>30590</v>
      </c>
      <c r="N52" s="80">
        <v>29280</v>
      </c>
      <c r="O52" s="80">
        <v>29520</v>
      </c>
      <c r="P52" s="80">
        <v>29190</v>
      </c>
      <c r="Q52" s="80">
        <v>30270</v>
      </c>
      <c r="R52" s="80">
        <v>30370</v>
      </c>
      <c r="S52" s="80">
        <v>30700</v>
      </c>
      <c r="T52" s="80">
        <v>31640</v>
      </c>
      <c r="U52" s="80">
        <v>32330</v>
      </c>
      <c r="V52" s="80">
        <v>32960</v>
      </c>
      <c r="W52" s="80">
        <v>34020</v>
      </c>
      <c r="X52" s="80">
        <v>34470</v>
      </c>
      <c r="Y52" s="80">
        <v>35550</v>
      </c>
      <c r="Z52" s="80">
        <v>37570</v>
      </c>
      <c r="AA52" s="80">
        <v>38400</v>
      </c>
      <c r="AB52" s="80">
        <v>40410</v>
      </c>
      <c r="AC52" s="80">
        <v>41850</v>
      </c>
      <c r="AD52" s="80">
        <v>41240</v>
      </c>
      <c r="AE52" s="80">
        <v>41050</v>
      </c>
      <c r="AF52" s="80">
        <v>39910</v>
      </c>
      <c r="AG52" s="80">
        <v>39490</v>
      </c>
      <c r="AH52" s="80">
        <v>38510</v>
      </c>
      <c r="AI52" s="80">
        <v>38060</v>
      </c>
      <c r="AJ52" s="80">
        <v>36790</v>
      </c>
      <c r="AK52" s="80">
        <v>35620</v>
      </c>
      <c r="AL52" s="80">
        <v>36230</v>
      </c>
      <c r="AM52" s="80">
        <v>35460</v>
      </c>
      <c r="AN52" s="80">
        <v>34080</v>
      </c>
      <c r="AO52" s="80">
        <v>33720</v>
      </c>
      <c r="AP52" s="80">
        <v>34210</v>
      </c>
      <c r="AQ52" s="80">
        <v>34080</v>
      </c>
      <c r="AR52" s="80">
        <v>34760</v>
      </c>
      <c r="AS52" s="80">
        <v>36040</v>
      </c>
      <c r="AT52" s="80">
        <v>37250</v>
      </c>
      <c r="AU52" s="80">
        <v>36890</v>
      </c>
      <c r="AV52" s="80">
        <v>37770</v>
      </c>
      <c r="AW52" s="80">
        <v>37310</v>
      </c>
      <c r="AX52" s="80">
        <v>36840</v>
      </c>
      <c r="AY52" s="80">
        <v>36430</v>
      </c>
      <c r="AZ52" s="80">
        <v>35500</v>
      </c>
      <c r="BA52" s="80">
        <v>35430</v>
      </c>
      <c r="BB52" s="80">
        <v>35420</v>
      </c>
      <c r="BC52" s="80">
        <v>35890</v>
      </c>
      <c r="BD52" s="80">
        <v>36460</v>
      </c>
      <c r="BE52" s="80">
        <v>36970</v>
      </c>
      <c r="BF52" s="80">
        <v>37410</v>
      </c>
      <c r="BG52" s="80">
        <v>37750</v>
      </c>
      <c r="BH52" s="80">
        <v>37980</v>
      </c>
      <c r="BI52" s="80">
        <v>38130</v>
      </c>
      <c r="BJ52" s="80">
        <v>38200</v>
      </c>
      <c r="BK52" s="80">
        <v>38200</v>
      </c>
      <c r="BL52" s="80">
        <v>38150</v>
      </c>
    </row>
    <row r="53" spans="1:64" x14ac:dyDescent="0.2">
      <c r="A53" s="28">
        <v>43</v>
      </c>
      <c r="B53" s="80">
        <v>34420</v>
      </c>
      <c r="C53" s="80">
        <v>33610</v>
      </c>
      <c r="D53" s="80">
        <v>32450</v>
      </c>
      <c r="E53" s="80">
        <v>32140</v>
      </c>
      <c r="F53" s="80">
        <v>32540</v>
      </c>
      <c r="G53" s="80">
        <v>32750</v>
      </c>
      <c r="H53" s="80">
        <v>33270</v>
      </c>
      <c r="I53" s="80">
        <v>33070</v>
      </c>
      <c r="J53" s="80">
        <v>34320</v>
      </c>
      <c r="K53" s="80">
        <v>33720</v>
      </c>
      <c r="L53" s="80">
        <v>32820</v>
      </c>
      <c r="M53" s="80">
        <v>31830</v>
      </c>
      <c r="N53" s="80">
        <v>30740</v>
      </c>
      <c r="O53" s="80">
        <v>29400</v>
      </c>
      <c r="P53" s="80">
        <v>29610</v>
      </c>
      <c r="Q53" s="80">
        <v>29240</v>
      </c>
      <c r="R53" s="80">
        <v>30290</v>
      </c>
      <c r="S53" s="80">
        <v>30400</v>
      </c>
      <c r="T53" s="80">
        <v>30730</v>
      </c>
      <c r="U53" s="80">
        <v>31670</v>
      </c>
      <c r="V53" s="80">
        <v>32360</v>
      </c>
      <c r="W53" s="80">
        <v>32980</v>
      </c>
      <c r="X53" s="80">
        <v>34040</v>
      </c>
      <c r="Y53" s="80">
        <v>34500</v>
      </c>
      <c r="Z53" s="80">
        <v>35570</v>
      </c>
      <c r="AA53" s="80">
        <v>37590</v>
      </c>
      <c r="AB53" s="80">
        <v>38420</v>
      </c>
      <c r="AC53" s="80">
        <v>40430</v>
      </c>
      <c r="AD53" s="80">
        <v>41870</v>
      </c>
      <c r="AE53" s="80">
        <v>41260</v>
      </c>
      <c r="AF53" s="80">
        <v>41070</v>
      </c>
      <c r="AG53" s="80">
        <v>39940</v>
      </c>
      <c r="AH53" s="80">
        <v>39520</v>
      </c>
      <c r="AI53" s="80">
        <v>38540</v>
      </c>
      <c r="AJ53" s="80">
        <v>38090</v>
      </c>
      <c r="AK53" s="80">
        <v>36820</v>
      </c>
      <c r="AL53" s="80">
        <v>35650</v>
      </c>
      <c r="AM53" s="80">
        <v>36270</v>
      </c>
      <c r="AN53" s="80">
        <v>35500</v>
      </c>
      <c r="AO53" s="80">
        <v>34110</v>
      </c>
      <c r="AP53" s="80">
        <v>33760</v>
      </c>
      <c r="AQ53" s="80">
        <v>34240</v>
      </c>
      <c r="AR53" s="80">
        <v>34120</v>
      </c>
      <c r="AS53" s="80">
        <v>34800</v>
      </c>
      <c r="AT53" s="80">
        <v>36080</v>
      </c>
      <c r="AU53" s="80">
        <v>37280</v>
      </c>
      <c r="AV53" s="80">
        <v>36930</v>
      </c>
      <c r="AW53" s="80">
        <v>37800</v>
      </c>
      <c r="AX53" s="80">
        <v>37340</v>
      </c>
      <c r="AY53" s="80">
        <v>36870</v>
      </c>
      <c r="AZ53" s="80">
        <v>36460</v>
      </c>
      <c r="BA53" s="80">
        <v>35540</v>
      </c>
      <c r="BB53" s="80">
        <v>35470</v>
      </c>
      <c r="BC53" s="80">
        <v>35460</v>
      </c>
      <c r="BD53" s="80">
        <v>35930</v>
      </c>
      <c r="BE53" s="80">
        <v>36500</v>
      </c>
      <c r="BF53" s="80">
        <v>37010</v>
      </c>
      <c r="BG53" s="80">
        <v>37450</v>
      </c>
      <c r="BH53" s="80">
        <v>37790</v>
      </c>
      <c r="BI53" s="80">
        <v>38020</v>
      </c>
      <c r="BJ53" s="80">
        <v>38170</v>
      </c>
      <c r="BK53" s="80">
        <v>38240</v>
      </c>
      <c r="BL53" s="80">
        <v>38240</v>
      </c>
    </row>
    <row r="54" spans="1:64" x14ac:dyDescent="0.2">
      <c r="A54" s="28">
        <v>44</v>
      </c>
      <c r="B54" s="80">
        <v>34170</v>
      </c>
      <c r="C54" s="80">
        <v>34490</v>
      </c>
      <c r="D54" s="80">
        <v>33560</v>
      </c>
      <c r="E54" s="80">
        <v>32440</v>
      </c>
      <c r="F54" s="80">
        <v>32160</v>
      </c>
      <c r="G54" s="80">
        <v>32530</v>
      </c>
      <c r="H54" s="80">
        <v>32680</v>
      </c>
      <c r="I54" s="80">
        <v>33180</v>
      </c>
      <c r="J54" s="80">
        <v>33170</v>
      </c>
      <c r="K54" s="80">
        <v>34500</v>
      </c>
      <c r="L54" s="80">
        <v>33850</v>
      </c>
      <c r="M54" s="80">
        <v>32960</v>
      </c>
      <c r="N54" s="80">
        <v>31950</v>
      </c>
      <c r="O54" s="80">
        <v>30830</v>
      </c>
      <c r="P54" s="80">
        <v>29460</v>
      </c>
      <c r="Q54" s="80">
        <v>29640</v>
      </c>
      <c r="R54" s="80">
        <v>29250</v>
      </c>
      <c r="S54" s="80">
        <v>30300</v>
      </c>
      <c r="T54" s="80">
        <v>30410</v>
      </c>
      <c r="U54" s="80">
        <v>30740</v>
      </c>
      <c r="V54" s="80">
        <v>31680</v>
      </c>
      <c r="W54" s="80">
        <v>32370</v>
      </c>
      <c r="X54" s="80">
        <v>32990</v>
      </c>
      <c r="Y54" s="80">
        <v>34050</v>
      </c>
      <c r="Z54" s="80">
        <v>34500</v>
      </c>
      <c r="AA54" s="80">
        <v>35580</v>
      </c>
      <c r="AB54" s="80">
        <v>37600</v>
      </c>
      <c r="AC54" s="80">
        <v>38430</v>
      </c>
      <c r="AD54" s="80">
        <v>40440</v>
      </c>
      <c r="AE54" s="80">
        <v>41880</v>
      </c>
      <c r="AF54" s="80">
        <v>41270</v>
      </c>
      <c r="AG54" s="80">
        <v>41080</v>
      </c>
      <c r="AH54" s="80">
        <v>39940</v>
      </c>
      <c r="AI54" s="80">
        <v>39520</v>
      </c>
      <c r="AJ54" s="80">
        <v>38550</v>
      </c>
      <c r="AK54" s="80">
        <v>38100</v>
      </c>
      <c r="AL54" s="80">
        <v>36830</v>
      </c>
      <c r="AM54" s="80">
        <v>35670</v>
      </c>
      <c r="AN54" s="80">
        <v>36280</v>
      </c>
      <c r="AO54" s="80">
        <v>35510</v>
      </c>
      <c r="AP54" s="80">
        <v>34130</v>
      </c>
      <c r="AQ54" s="80">
        <v>33780</v>
      </c>
      <c r="AR54" s="80">
        <v>34260</v>
      </c>
      <c r="AS54" s="80">
        <v>34140</v>
      </c>
      <c r="AT54" s="80">
        <v>34820</v>
      </c>
      <c r="AU54" s="80">
        <v>36100</v>
      </c>
      <c r="AV54" s="80">
        <v>37300</v>
      </c>
      <c r="AW54" s="80">
        <v>36950</v>
      </c>
      <c r="AX54" s="80">
        <v>37820</v>
      </c>
      <c r="AY54" s="80">
        <v>37360</v>
      </c>
      <c r="AZ54" s="80">
        <v>36890</v>
      </c>
      <c r="BA54" s="80">
        <v>36480</v>
      </c>
      <c r="BB54" s="80">
        <v>35560</v>
      </c>
      <c r="BC54" s="80">
        <v>35490</v>
      </c>
      <c r="BD54" s="80">
        <v>35480</v>
      </c>
      <c r="BE54" s="80">
        <v>35950</v>
      </c>
      <c r="BF54" s="80">
        <v>36520</v>
      </c>
      <c r="BG54" s="80">
        <v>37030</v>
      </c>
      <c r="BH54" s="80">
        <v>37470</v>
      </c>
      <c r="BI54" s="80">
        <v>37810</v>
      </c>
      <c r="BJ54" s="80">
        <v>38050</v>
      </c>
      <c r="BK54" s="80">
        <v>38190</v>
      </c>
      <c r="BL54" s="80">
        <v>38260</v>
      </c>
    </row>
    <row r="55" spans="1:64" x14ac:dyDescent="0.2">
      <c r="A55" s="28">
        <v>45</v>
      </c>
      <c r="B55" s="80">
        <v>33510</v>
      </c>
      <c r="C55" s="80">
        <v>34170</v>
      </c>
      <c r="D55" s="80">
        <v>34370</v>
      </c>
      <c r="E55" s="80">
        <v>33510</v>
      </c>
      <c r="F55" s="80">
        <v>32390</v>
      </c>
      <c r="G55" s="80">
        <v>32090</v>
      </c>
      <c r="H55" s="80">
        <v>32440</v>
      </c>
      <c r="I55" s="80">
        <v>32650</v>
      </c>
      <c r="J55" s="80">
        <v>33190</v>
      </c>
      <c r="K55" s="80">
        <v>33240</v>
      </c>
      <c r="L55" s="80">
        <v>34650</v>
      </c>
      <c r="M55" s="80">
        <v>33960</v>
      </c>
      <c r="N55" s="80">
        <v>33040</v>
      </c>
      <c r="O55" s="80">
        <v>32010</v>
      </c>
      <c r="P55" s="80">
        <v>30870</v>
      </c>
      <c r="Q55" s="80">
        <v>29480</v>
      </c>
      <c r="R55" s="80">
        <v>29630</v>
      </c>
      <c r="S55" s="80">
        <v>29240</v>
      </c>
      <c r="T55" s="80">
        <v>30290</v>
      </c>
      <c r="U55" s="80">
        <v>30400</v>
      </c>
      <c r="V55" s="80">
        <v>30730</v>
      </c>
      <c r="W55" s="80">
        <v>31670</v>
      </c>
      <c r="X55" s="80">
        <v>32350</v>
      </c>
      <c r="Y55" s="80">
        <v>32980</v>
      </c>
      <c r="Z55" s="80">
        <v>34040</v>
      </c>
      <c r="AA55" s="80">
        <v>34490</v>
      </c>
      <c r="AB55" s="80">
        <v>35570</v>
      </c>
      <c r="AC55" s="80">
        <v>37590</v>
      </c>
      <c r="AD55" s="80">
        <v>38410</v>
      </c>
      <c r="AE55" s="80">
        <v>40420</v>
      </c>
      <c r="AF55" s="80">
        <v>41860</v>
      </c>
      <c r="AG55" s="80">
        <v>41250</v>
      </c>
      <c r="AH55" s="80">
        <v>41070</v>
      </c>
      <c r="AI55" s="80">
        <v>39930</v>
      </c>
      <c r="AJ55" s="80">
        <v>39520</v>
      </c>
      <c r="AK55" s="80">
        <v>38540</v>
      </c>
      <c r="AL55" s="80">
        <v>38090</v>
      </c>
      <c r="AM55" s="80">
        <v>36830</v>
      </c>
      <c r="AN55" s="80">
        <v>35660</v>
      </c>
      <c r="AO55" s="80">
        <v>36280</v>
      </c>
      <c r="AP55" s="80">
        <v>35510</v>
      </c>
      <c r="AQ55" s="80">
        <v>34120</v>
      </c>
      <c r="AR55" s="80">
        <v>33780</v>
      </c>
      <c r="AS55" s="80">
        <v>34260</v>
      </c>
      <c r="AT55" s="80">
        <v>34140</v>
      </c>
      <c r="AU55" s="80">
        <v>34820</v>
      </c>
      <c r="AV55" s="80">
        <v>36100</v>
      </c>
      <c r="AW55" s="80">
        <v>37300</v>
      </c>
      <c r="AX55" s="80">
        <v>36950</v>
      </c>
      <c r="AY55" s="80">
        <v>37820</v>
      </c>
      <c r="AZ55" s="80">
        <v>37360</v>
      </c>
      <c r="BA55" s="80">
        <v>36890</v>
      </c>
      <c r="BB55" s="80">
        <v>36490</v>
      </c>
      <c r="BC55" s="80">
        <v>35560</v>
      </c>
      <c r="BD55" s="80">
        <v>35490</v>
      </c>
      <c r="BE55" s="80">
        <v>35490</v>
      </c>
      <c r="BF55" s="80">
        <v>35950</v>
      </c>
      <c r="BG55" s="80">
        <v>36520</v>
      </c>
      <c r="BH55" s="80">
        <v>37040</v>
      </c>
      <c r="BI55" s="80">
        <v>37470</v>
      </c>
      <c r="BJ55" s="80">
        <v>37820</v>
      </c>
      <c r="BK55" s="80">
        <v>38050</v>
      </c>
      <c r="BL55" s="80">
        <v>38190</v>
      </c>
    </row>
    <row r="56" spans="1:64" x14ac:dyDescent="0.2">
      <c r="A56" s="28">
        <v>46</v>
      </c>
      <c r="B56" s="80">
        <v>31920</v>
      </c>
      <c r="C56" s="80">
        <v>33480</v>
      </c>
      <c r="D56" s="80">
        <v>34110</v>
      </c>
      <c r="E56" s="80">
        <v>34280</v>
      </c>
      <c r="F56" s="80">
        <v>33480</v>
      </c>
      <c r="G56" s="80">
        <v>32280</v>
      </c>
      <c r="H56" s="80">
        <v>31920</v>
      </c>
      <c r="I56" s="80">
        <v>32390</v>
      </c>
      <c r="J56" s="80">
        <v>32640</v>
      </c>
      <c r="K56" s="80">
        <v>33240</v>
      </c>
      <c r="L56" s="80">
        <v>33310</v>
      </c>
      <c r="M56" s="80">
        <v>34730</v>
      </c>
      <c r="N56" s="80">
        <v>34020</v>
      </c>
      <c r="O56" s="80">
        <v>33080</v>
      </c>
      <c r="P56" s="80">
        <v>32020</v>
      </c>
      <c r="Q56" s="80">
        <v>30860</v>
      </c>
      <c r="R56" s="80">
        <v>29450</v>
      </c>
      <c r="S56" s="80">
        <v>29600</v>
      </c>
      <c r="T56" s="80">
        <v>29210</v>
      </c>
      <c r="U56" s="80">
        <v>30260</v>
      </c>
      <c r="V56" s="80">
        <v>30370</v>
      </c>
      <c r="W56" s="80">
        <v>30700</v>
      </c>
      <c r="X56" s="80">
        <v>31640</v>
      </c>
      <c r="Y56" s="80">
        <v>32330</v>
      </c>
      <c r="Z56" s="80">
        <v>32950</v>
      </c>
      <c r="AA56" s="80">
        <v>34010</v>
      </c>
      <c r="AB56" s="80">
        <v>34470</v>
      </c>
      <c r="AC56" s="80">
        <v>35540</v>
      </c>
      <c r="AD56" s="80">
        <v>37560</v>
      </c>
      <c r="AE56" s="80">
        <v>38390</v>
      </c>
      <c r="AF56" s="80">
        <v>40390</v>
      </c>
      <c r="AG56" s="80">
        <v>41840</v>
      </c>
      <c r="AH56" s="80">
        <v>41230</v>
      </c>
      <c r="AI56" s="80">
        <v>41040</v>
      </c>
      <c r="AJ56" s="80">
        <v>39910</v>
      </c>
      <c r="AK56" s="80">
        <v>39490</v>
      </c>
      <c r="AL56" s="80">
        <v>38520</v>
      </c>
      <c r="AM56" s="80">
        <v>38070</v>
      </c>
      <c r="AN56" s="80">
        <v>36810</v>
      </c>
      <c r="AO56" s="80">
        <v>35640</v>
      </c>
      <c r="AP56" s="80">
        <v>36260</v>
      </c>
      <c r="AQ56" s="80">
        <v>35490</v>
      </c>
      <c r="AR56" s="80">
        <v>34110</v>
      </c>
      <c r="AS56" s="80">
        <v>33760</v>
      </c>
      <c r="AT56" s="80">
        <v>34250</v>
      </c>
      <c r="AU56" s="80">
        <v>34120</v>
      </c>
      <c r="AV56" s="80">
        <v>34800</v>
      </c>
      <c r="AW56" s="80">
        <v>36080</v>
      </c>
      <c r="AX56" s="80">
        <v>37280</v>
      </c>
      <c r="AY56" s="80">
        <v>36930</v>
      </c>
      <c r="AZ56" s="80">
        <v>37810</v>
      </c>
      <c r="BA56" s="80">
        <v>37350</v>
      </c>
      <c r="BB56" s="80">
        <v>36880</v>
      </c>
      <c r="BC56" s="80">
        <v>36470</v>
      </c>
      <c r="BD56" s="80">
        <v>35550</v>
      </c>
      <c r="BE56" s="80">
        <v>35480</v>
      </c>
      <c r="BF56" s="80">
        <v>35480</v>
      </c>
      <c r="BG56" s="80">
        <v>35940</v>
      </c>
      <c r="BH56" s="80">
        <v>36510</v>
      </c>
      <c r="BI56" s="80">
        <v>37030</v>
      </c>
      <c r="BJ56" s="80">
        <v>37460</v>
      </c>
      <c r="BK56" s="80">
        <v>37810</v>
      </c>
      <c r="BL56" s="80">
        <v>38040</v>
      </c>
    </row>
    <row r="57" spans="1:64" x14ac:dyDescent="0.2">
      <c r="A57" s="28">
        <v>47</v>
      </c>
      <c r="B57" s="80">
        <v>31370</v>
      </c>
      <c r="C57" s="80">
        <v>31900</v>
      </c>
      <c r="D57" s="80">
        <v>33410</v>
      </c>
      <c r="E57" s="80">
        <v>34030</v>
      </c>
      <c r="F57" s="80">
        <v>34240</v>
      </c>
      <c r="G57" s="80">
        <v>33400</v>
      </c>
      <c r="H57" s="80">
        <v>32110</v>
      </c>
      <c r="I57" s="80">
        <v>31790</v>
      </c>
      <c r="J57" s="80">
        <v>32330</v>
      </c>
      <c r="K57" s="80">
        <v>32630</v>
      </c>
      <c r="L57" s="80">
        <v>33310</v>
      </c>
      <c r="M57" s="80">
        <v>33360</v>
      </c>
      <c r="N57" s="80">
        <v>34760</v>
      </c>
      <c r="O57" s="80">
        <v>34030</v>
      </c>
      <c r="P57" s="80">
        <v>33070</v>
      </c>
      <c r="Q57" s="80">
        <v>32000</v>
      </c>
      <c r="R57" s="80">
        <v>30810</v>
      </c>
      <c r="S57" s="80">
        <v>29410</v>
      </c>
      <c r="T57" s="80">
        <v>29560</v>
      </c>
      <c r="U57" s="80">
        <v>29170</v>
      </c>
      <c r="V57" s="80">
        <v>30220</v>
      </c>
      <c r="W57" s="80">
        <v>30330</v>
      </c>
      <c r="X57" s="80">
        <v>30660</v>
      </c>
      <c r="Y57" s="80">
        <v>31600</v>
      </c>
      <c r="Z57" s="80">
        <v>32290</v>
      </c>
      <c r="AA57" s="80">
        <v>32910</v>
      </c>
      <c r="AB57" s="80">
        <v>33970</v>
      </c>
      <c r="AC57" s="80">
        <v>34430</v>
      </c>
      <c r="AD57" s="80">
        <v>35500</v>
      </c>
      <c r="AE57" s="80">
        <v>37520</v>
      </c>
      <c r="AF57" s="80">
        <v>38350</v>
      </c>
      <c r="AG57" s="80">
        <v>40350</v>
      </c>
      <c r="AH57" s="80">
        <v>41790</v>
      </c>
      <c r="AI57" s="80">
        <v>41180</v>
      </c>
      <c r="AJ57" s="80">
        <v>41000</v>
      </c>
      <c r="AK57" s="80">
        <v>39870</v>
      </c>
      <c r="AL57" s="80">
        <v>39460</v>
      </c>
      <c r="AM57" s="80">
        <v>38480</v>
      </c>
      <c r="AN57" s="80">
        <v>38040</v>
      </c>
      <c r="AO57" s="80">
        <v>36770</v>
      </c>
      <c r="AP57" s="80">
        <v>35610</v>
      </c>
      <c r="AQ57" s="80">
        <v>36230</v>
      </c>
      <c r="AR57" s="80">
        <v>35460</v>
      </c>
      <c r="AS57" s="80">
        <v>34080</v>
      </c>
      <c r="AT57" s="80">
        <v>33730</v>
      </c>
      <c r="AU57" s="80">
        <v>34220</v>
      </c>
      <c r="AV57" s="80">
        <v>34100</v>
      </c>
      <c r="AW57" s="80">
        <v>34780</v>
      </c>
      <c r="AX57" s="80">
        <v>36060</v>
      </c>
      <c r="AY57" s="80">
        <v>37260</v>
      </c>
      <c r="AZ57" s="80">
        <v>36910</v>
      </c>
      <c r="BA57" s="80">
        <v>37780</v>
      </c>
      <c r="BB57" s="80">
        <v>37320</v>
      </c>
      <c r="BC57" s="80">
        <v>36860</v>
      </c>
      <c r="BD57" s="80">
        <v>36450</v>
      </c>
      <c r="BE57" s="80">
        <v>35530</v>
      </c>
      <c r="BF57" s="80">
        <v>35460</v>
      </c>
      <c r="BG57" s="80">
        <v>35460</v>
      </c>
      <c r="BH57" s="80">
        <v>35920</v>
      </c>
      <c r="BI57" s="80">
        <v>36490</v>
      </c>
      <c r="BJ57" s="80">
        <v>37010</v>
      </c>
      <c r="BK57" s="80">
        <v>37440</v>
      </c>
      <c r="BL57" s="80">
        <v>37790</v>
      </c>
    </row>
    <row r="58" spans="1:64" x14ac:dyDescent="0.2">
      <c r="A58" s="28">
        <v>48</v>
      </c>
      <c r="B58" s="80">
        <v>29970</v>
      </c>
      <c r="C58" s="80">
        <v>31320</v>
      </c>
      <c r="D58" s="80">
        <v>31780</v>
      </c>
      <c r="E58" s="80">
        <v>33320</v>
      </c>
      <c r="F58" s="80">
        <v>33960</v>
      </c>
      <c r="G58" s="80">
        <v>34130</v>
      </c>
      <c r="H58" s="80">
        <v>33190</v>
      </c>
      <c r="I58" s="80">
        <v>31970</v>
      </c>
      <c r="J58" s="80">
        <v>31730</v>
      </c>
      <c r="K58" s="80">
        <v>32340</v>
      </c>
      <c r="L58" s="80">
        <v>32700</v>
      </c>
      <c r="M58" s="80">
        <v>33340</v>
      </c>
      <c r="N58" s="80">
        <v>33370</v>
      </c>
      <c r="O58" s="80">
        <v>34760</v>
      </c>
      <c r="P58" s="80">
        <v>34010</v>
      </c>
      <c r="Q58" s="80">
        <v>33030</v>
      </c>
      <c r="R58" s="80">
        <v>31940</v>
      </c>
      <c r="S58" s="80">
        <v>30760</v>
      </c>
      <c r="T58" s="80">
        <v>29350</v>
      </c>
      <c r="U58" s="80">
        <v>29510</v>
      </c>
      <c r="V58" s="80">
        <v>29120</v>
      </c>
      <c r="W58" s="80">
        <v>30170</v>
      </c>
      <c r="X58" s="80">
        <v>30280</v>
      </c>
      <c r="Y58" s="80">
        <v>30610</v>
      </c>
      <c r="Z58" s="80">
        <v>31550</v>
      </c>
      <c r="AA58" s="80">
        <v>32240</v>
      </c>
      <c r="AB58" s="80">
        <v>32870</v>
      </c>
      <c r="AC58" s="80">
        <v>33920</v>
      </c>
      <c r="AD58" s="80">
        <v>34380</v>
      </c>
      <c r="AE58" s="80">
        <v>35450</v>
      </c>
      <c r="AF58" s="80">
        <v>37470</v>
      </c>
      <c r="AG58" s="80">
        <v>38300</v>
      </c>
      <c r="AH58" s="80">
        <v>40300</v>
      </c>
      <c r="AI58" s="80">
        <v>41740</v>
      </c>
      <c r="AJ58" s="80">
        <v>41130</v>
      </c>
      <c r="AK58" s="80">
        <v>40950</v>
      </c>
      <c r="AL58" s="80">
        <v>39820</v>
      </c>
      <c r="AM58" s="80">
        <v>39410</v>
      </c>
      <c r="AN58" s="80">
        <v>38440</v>
      </c>
      <c r="AO58" s="80">
        <v>37990</v>
      </c>
      <c r="AP58" s="80">
        <v>36730</v>
      </c>
      <c r="AQ58" s="80">
        <v>35570</v>
      </c>
      <c r="AR58" s="80">
        <v>36190</v>
      </c>
      <c r="AS58" s="80">
        <v>35420</v>
      </c>
      <c r="AT58" s="80">
        <v>34040</v>
      </c>
      <c r="AU58" s="80">
        <v>33700</v>
      </c>
      <c r="AV58" s="80">
        <v>34180</v>
      </c>
      <c r="AW58" s="80">
        <v>34060</v>
      </c>
      <c r="AX58" s="80">
        <v>34740</v>
      </c>
      <c r="AY58" s="80">
        <v>36020</v>
      </c>
      <c r="AZ58" s="80">
        <v>37220</v>
      </c>
      <c r="BA58" s="80">
        <v>36870</v>
      </c>
      <c r="BB58" s="80">
        <v>37750</v>
      </c>
      <c r="BC58" s="80">
        <v>37290</v>
      </c>
      <c r="BD58" s="80">
        <v>36820</v>
      </c>
      <c r="BE58" s="80">
        <v>36420</v>
      </c>
      <c r="BF58" s="80">
        <v>35500</v>
      </c>
      <c r="BG58" s="80">
        <v>35430</v>
      </c>
      <c r="BH58" s="80">
        <v>35430</v>
      </c>
      <c r="BI58" s="80">
        <v>35890</v>
      </c>
      <c r="BJ58" s="80">
        <v>36460</v>
      </c>
      <c r="BK58" s="80">
        <v>36980</v>
      </c>
      <c r="BL58" s="80">
        <v>37410</v>
      </c>
    </row>
    <row r="59" spans="1:64" x14ac:dyDescent="0.2">
      <c r="A59" s="28">
        <v>49</v>
      </c>
      <c r="B59" s="80">
        <v>29280</v>
      </c>
      <c r="C59" s="80">
        <v>29840</v>
      </c>
      <c r="D59" s="80">
        <v>31230</v>
      </c>
      <c r="E59" s="80">
        <v>31700</v>
      </c>
      <c r="F59" s="80">
        <v>33260</v>
      </c>
      <c r="G59" s="80">
        <v>33830</v>
      </c>
      <c r="H59" s="80">
        <v>33930</v>
      </c>
      <c r="I59" s="80">
        <v>33100</v>
      </c>
      <c r="J59" s="80">
        <v>31900</v>
      </c>
      <c r="K59" s="80">
        <v>31740</v>
      </c>
      <c r="L59" s="80">
        <v>32380</v>
      </c>
      <c r="M59" s="80">
        <v>32720</v>
      </c>
      <c r="N59" s="80">
        <v>33350</v>
      </c>
      <c r="O59" s="80">
        <v>33360</v>
      </c>
      <c r="P59" s="80">
        <v>34720</v>
      </c>
      <c r="Q59" s="80">
        <v>33960</v>
      </c>
      <c r="R59" s="80">
        <v>32970</v>
      </c>
      <c r="S59" s="80">
        <v>31880</v>
      </c>
      <c r="T59" s="80">
        <v>30700</v>
      </c>
      <c r="U59" s="80">
        <v>29300</v>
      </c>
      <c r="V59" s="80">
        <v>29450</v>
      </c>
      <c r="W59" s="80">
        <v>29070</v>
      </c>
      <c r="X59" s="80">
        <v>30120</v>
      </c>
      <c r="Y59" s="80">
        <v>30230</v>
      </c>
      <c r="Z59" s="80">
        <v>30560</v>
      </c>
      <c r="AA59" s="80">
        <v>31500</v>
      </c>
      <c r="AB59" s="80">
        <v>32190</v>
      </c>
      <c r="AC59" s="80">
        <v>32810</v>
      </c>
      <c r="AD59" s="80">
        <v>33870</v>
      </c>
      <c r="AE59" s="80">
        <v>34330</v>
      </c>
      <c r="AF59" s="80">
        <v>35400</v>
      </c>
      <c r="AG59" s="80">
        <v>37410</v>
      </c>
      <c r="AH59" s="80">
        <v>38240</v>
      </c>
      <c r="AI59" s="80">
        <v>40250</v>
      </c>
      <c r="AJ59" s="80">
        <v>41690</v>
      </c>
      <c r="AK59" s="80">
        <v>41080</v>
      </c>
      <c r="AL59" s="80">
        <v>40900</v>
      </c>
      <c r="AM59" s="80">
        <v>39770</v>
      </c>
      <c r="AN59" s="80">
        <v>39360</v>
      </c>
      <c r="AO59" s="80">
        <v>38390</v>
      </c>
      <c r="AP59" s="80">
        <v>37950</v>
      </c>
      <c r="AQ59" s="80">
        <v>36690</v>
      </c>
      <c r="AR59" s="80">
        <v>35530</v>
      </c>
      <c r="AS59" s="80">
        <v>36150</v>
      </c>
      <c r="AT59" s="80">
        <v>35380</v>
      </c>
      <c r="AU59" s="80">
        <v>34010</v>
      </c>
      <c r="AV59" s="80">
        <v>33660</v>
      </c>
      <c r="AW59" s="80">
        <v>34150</v>
      </c>
      <c r="AX59" s="80">
        <v>34030</v>
      </c>
      <c r="AY59" s="80">
        <v>34700</v>
      </c>
      <c r="AZ59" s="80">
        <v>35980</v>
      </c>
      <c r="BA59" s="80">
        <v>37190</v>
      </c>
      <c r="BB59" s="80">
        <v>36840</v>
      </c>
      <c r="BC59" s="80">
        <v>37710</v>
      </c>
      <c r="BD59" s="80">
        <v>37250</v>
      </c>
      <c r="BE59" s="80">
        <v>36790</v>
      </c>
      <c r="BF59" s="80">
        <v>36390</v>
      </c>
      <c r="BG59" s="80">
        <v>35470</v>
      </c>
      <c r="BH59" s="80">
        <v>35400</v>
      </c>
      <c r="BI59" s="80">
        <v>35390</v>
      </c>
      <c r="BJ59" s="80">
        <v>35860</v>
      </c>
      <c r="BK59" s="80">
        <v>36430</v>
      </c>
      <c r="BL59" s="80">
        <v>36940</v>
      </c>
    </row>
    <row r="60" spans="1:64" x14ac:dyDescent="0.2">
      <c r="A60" s="28">
        <v>50</v>
      </c>
      <c r="B60" s="80">
        <v>28580</v>
      </c>
      <c r="C60" s="80">
        <v>29200</v>
      </c>
      <c r="D60" s="80">
        <v>29730</v>
      </c>
      <c r="E60" s="80">
        <v>31150</v>
      </c>
      <c r="F60" s="80">
        <v>31650</v>
      </c>
      <c r="G60" s="80">
        <v>33090</v>
      </c>
      <c r="H60" s="80">
        <v>33640</v>
      </c>
      <c r="I60" s="80">
        <v>33790</v>
      </c>
      <c r="J60" s="80">
        <v>33040</v>
      </c>
      <c r="K60" s="80">
        <v>31890</v>
      </c>
      <c r="L60" s="80">
        <v>31760</v>
      </c>
      <c r="M60" s="80">
        <v>32400</v>
      </c>
      <c r="N60" s="80">
        <v>32720</v>
      </c>
      <c r="O60" s="80">
        <v>33330</v>
      </c>
      <c r="P60" s="80">
        <v>33330</v>
      </c>
      <c r="Q60" s="80">
        <v>34670</v>
      </c>
      <c r="R60" s="80">
        <v>33890</v>
      </c>
      <c r="S60" s="80">
        <v>32900</v>
      </c>
      <c r="T60" s="80">
        <v>31820</v>
      </c>
      <c r="U60" s="80">
        <v>30640</v>
      </c>
      <c r="V60" s="80">
        <v>29240</v>
      </c>
      <c r="W60" s="80">
        <v>29400</v>
      </c>
      <c r="X60" s="80">
        <v>29020</v>
      </c>
      <c r="Y60" s="80">
        <v>30060</v>
      </c>
      <c r="Z60" s="80">
        <v>30180</v>
      </c>
      <c r="AA60" s="80">
        <v>30510</v>
      </c>
      <c r="AB60" s="80">
        <v>31450</v>
      </c>
      <c r="AC60" s="80">
        <v>32140</v>
      </c>
      <c r="AD60" s="80">
        <v>32760</v>
      </c>
      <c r="AE60" s="80">
        <v>33820</v>
      </c>
      <c r="AF60" s="80">
        <v>34280</v>
      </c>
      <c r="AG60" s="80">
        <v>35350</v>
      </c>
      <c r="AH60" s="80">
        <v>37360</v>
      </c>
      <c r="AI60" s="80">
        <v>38190</v>
      </c>
      <c r="AJ60" s="80">
        <v>40190</v>
      </c>
      <c r="AK60" s="80">
        <v>41630</v>
      </c>
      <c r="AL60" s="80">
        <v>41030</v>
      </c>
      <c r="AM60" s="80">
        <v>40850</v>
      </c>
      <c r="AN60" s="80">
        <v>39730</v>
      </c>
      <c r="AO60" s="80">
        <v>39310</v>
      </c>
      <c r="AP60" s="80">
        <v>38340</v>
      </c>
      <c r="AQ60" s="80">
        <v>37900</v>
      </c>
      <c r="AR60" s="80">
        <v>36650</v>
      </c>
      <c r="AS60" s="80">
        <v>35490</v>
      </c>
      <c r="AT60" s="80">
        <v>36110</v>
      </c>
      <c r="AU60" s="80">
        <v>35350</v>
      </c>
      <c r="AV60" s="80">
        <v>33970</v>
      </c>
      <c r="AW60" s="80">
        <v>33630</v>
      </c>
      <c r="AX60" s="80">
        <v>34110</v>
      </c>
      <c r="AY60" s="80">
        <v>33990</v>
      </c>
      <c r="AZ60" s="80">
        <v>34670</v>
      </c>
      <c r="BA60" s="80">
        <v>35950</v>
      </c>
      <c r="BB60" s="80">
        <v>37150</v>
      </c>
      <c r="BC60" s="80">
        <v>36800</v>
      </c>
      <c r="BD60" s="80">
        <v>37680</v>
      </c>
      <c r="BE60" s="80">
        <v>37220</v>
      </c>
      <c r="BF60" s="80">
        <v>36760</v>
      </c>
      <c r="BG60" s="80">
        <v>36350</v>
      </c>
      <c r="BH60" s="80">
        <v>35440</v>
      </c>
      <c r="BI60" s="80">
        <v>35370</v>
      </c>
      <c r="BJ60" s="80">
        <v>35360</v>
      </c>
      <c r="BK60" s="80">
        <v>35830</v>
      </c>
      <c r="BL60" s="80">
        <v>36400</v>
      </c>
    </row>
    <row r="61" spans="1:64" x14ac:dyDescent="0.2">
      <c r="A61" s="28">
        <v>51</v>
      </c>
      <c r="B61" s="80">
        <v>27550</v>
      </c>
      <c r="C61" s="80">
        <v>28490</v>
      </c>
      <c r="D61" s="80">
        <v>29090</v>
      </c>
      <c r="E61" s="80">
        <v>29610</v>
      </c>
      <c r="F61" s="80">
        <v>31090</v>
      </c>
      <c r="G61" s="80">
        <v>31520</v>
      </c>
      <c r="H61" s="80">
        <v>32950</v>
      </c>
      <c r="I61" s="80">
        <v>33500</v>
      </c>
      <c r="J61" s="80">
        <v>33700</v>
      </c>
      <c r="K61" s="80">
        <v>33030</v>
      </c>
      <c r="L61" s="80">
        <v>31920</v>
      </c>
      <c r="M61" s="80">
        <v>31760</v>
      </c>
      <c r="N61" s="80">
        <v>32390</v>
      </c>
      <c r="O61" s="80">
        <v>32690</v>
      </c>
      <c r="P61" s="80">
        <v>33290</v>
      </c>
      <c r="Q61" s="80">
        <v>33270</v>
      </c>
      <c r="R61" s="80">
        <v>34600</v>
      </c>
      <c r="S61" s="80">
        <v>33820</v>
      </c>
      <c r="T61" s="80">
        <v>32840</v>
      </c>
      <c r="U61" s="80">
        <v>31760</v>
      </c>
      <c r="V61" s="80">
        <v>30590</v>
      </c>
      <c r="W61" s="80">
        <v>29190</v>
      </c>
      <c r="X61" s="80">
        <v>29350</v>
      </c>
      <c r="Y61" s="80">
        <v>28970</v>
      </c>
      <c r="Z61" s="80">
        <v>30010</v>
      </c>
      <c r="AA61" s="80">
        <v>30130</v>
      </c>
      <c r="AB61" s="80">
        <v>30460</v>
      </c>
      <c r="AC61" s="80">
        <v>31400</v>
      </c>
      <c r="AD61" s="80">
        <v>32090</v>
      </c>
      <c r="AE61" s="80">
        <v>32710</v>
      </c>
      <c r="AF61" s="80">
        <v>33770</v>
      </c>
      <c r="AG61" s="80">
        <v>34230</v>
      </c>
      <c r="AH61" s="80">
        <v>35300</v>
      </c>
      <c r="AI61" s="80">
        <v>37310</v>
      </c>
      <c r="AJ61" s="80">
        <v>38140</v>
      </c>
      <c r="AK61" s="80">
        <v>40140</v>
      </c>
      <c r="AL61" s="80">
        <v>41580</v>
      </c>
      <c r="AM61" s="80">
        <v>40980</v>
      </c>
      <c r="AN61" s="80">
        <v>40800</v>
      </c>
      <c r="AO61" s="80">
        <v>39680</v>
      </c>
      <c r="AP61" s="80">
        <v>39270</v>
      </c>
      <c r="AQ61" s="80">
        <v>38300</v>
      </c>
      <c r="AR61" s="80">
        <v>37860</v>
      </c>
      <c r="AS61" s="80">
        <v>36610</v>
      </c>
      <c r="AT61" s="80">
        <v>35450</v>
      </c>
      <c r="AU61" s="80">
        <v>36070</v>
      </c>
      <c r="AV61" s="80">
        <v>35310</v>
      </c>
      <c r="AW61" s="80">
        <v>33940</v>
      </c>
      <c r="AX61" s="80">
        <v>33590</v>
      </c>
      <c r="AY61" s="80">
        <v>34080</v>
      </c>
      <c r="AZ61" s="80">
        <v>33960</v>
      </c>
      <c r="BA61" s="80">
        <v>34640</v>
      </c>
      <c r="BB61" s="80">
        <v>35920</v>
      </c>
      <c r="BC61" s="80">
        <v>37120</v>
      </c>
      <c r="BD61" s="80">
        <v>36770</v>
      </c>
      <c r="BE61" s="80">
        <v>37650</v>
      </c>
      <c r="BF61" s="80">
        <v>37190</v>
      </c>
      <c r="BG61" s="80">
        <v>36730</v>
      </c>
      <c r="BH61" s="80">
        <v>36330</v>
      </c>
      <c r="BI61" s="80">
        <v>35410</v>
      </c>
      <c r="BJ61" s="80">
        <v>35340</v>
      </c>
      <c r="BK61" s="80">
        <v>35340</v>
      </c>
      <c r="BL61" s="80">
        <v>35810</v>
      </c>
    </row>
    <row r="62" spans="1:64" x14ac:dyDescent="0.2">
      <c r="A62" s="28">
        <v>52</v>
      </c>
      <c r="B62" s="80">
        <v>26780</v>
      </c>
      <c r="C62" s="80">
        <v>27430</v>
      </c>
      <c r="D62" s="80">
        <v>28360</v>
      </c>
      <c r="E62" s="80">
        <v>28970</v>
      </c>
      <c r="F62" s="80">
        <v>29570</v>
      </c>
      <c r="G62" s="80">
        <v>30970</v>
      </c>
      <c r="H62" s="80">
        <v>31340</v>
      </c>
      <c r="I62" s="80">
        <v>32770</v>
      </c>
      <c r="J62" s="80">
        <v>33420</v>
      </c>
      <c r="K62" s="80">
        <v>33690</v>
      </c>
      <c r="L62" s="80">
        <v>33030</v>
      </c>
      <c r="M62" s="80">
        <v>31920</v>
      </c>
      <c r="N62" s="80">
        <v>31750</v>
      </c>
      <c r="O62" s="80">
        <v>32360</v>
      </c>
      <c r="P62" s="80">
        <v>32650</v>
      </c>
      <c r="Q62" s="80">
        <v>33240</v>
      </c>
      <c r="R62" s="80">
        <v>33210</v>
      </c>
      <c r="S62" s="80">
        <v>34540</v>
      </c>
      <c r="T62" s="80">
        <v>33760</v>
      </c>
      <c r="U62" s="80">
        <v>32780</v>
      </c>
      <c r="V62" s="80">
        <v>31700</v>
      </c>
      <c r="W62" s="80">
        <v>30530</v>
      </c>
      <c r="X62" s="80">
        <v>29140</v>
      </c>
      <c r="Y62" s="80">
        <v>29300</v>
      </c>
      <c r="Z62" s="80">
        <v>28920</v>
      </c>
      <c r="AA62" s="80">
        <v>29970</v>
      </c>
      <c r="AB62" s="80">
        <v>30080</v>
      </c>
      <c r="AC62" s="80">
        <v>30420</v>
      </c>
      <c r="AD62" s="80">
        <v>31360</v>
      </c>
      <c r="AE62" s="80">
        <v>32050</v>
      </c>
      <c r="AF62" s="80">
        <v>32670</v>
      </c>
      <c r="AG62" s="80">
        <v>33730</v>
      </c>
      <c r="AH62" s="80">
        <v>34190</v>
      </c>
      <c r="AI62" s="80">
        <v>35260</v>
      </c>
      <c r="AJ62" s="80">
        <v>37270</v>
      </c>
      <c r="AK62" s="80">
        <v>38100</v>
      </c>
      <c r="AL62" s="80">
        <v>40100</v>
      </c>
      <c r="AM62" s="80">
        <v>41540</v>
      </c>
      <c r="AN62" s="80">
        <v>40940</v>
      </c>
      <c r="AO62" s="80">
        <v>40760</v>
      </c>
      <c r="AP62" s="80">
        <v>39640</v>
      </c>
      <c r="AQ62" s="80">
        <v>39230</v>
      </c>
      <c r="AR62" s="80">
        <v>38270</v>
      </c>
      <c r="AS62" s="80">
        <v>37830</v>
      </c>
      <c r="AT62" s="80">
        <v>36580</v>
      </c>
      <c r="AU62" s="80">
        <v>35420</v>
      </c>
      <c r="AV62" s="80">
        <v>36040</v>
      </c>
      <c r="AW62" s="80">
        <v>35280</v>
      </c>
      <c r="AX62" s="80">
        <v>33910</v>
      </c>
      <c r="AY62" s="80">
        <v>33570</v>
      </c>
      <c r="AZ62" s="80">
        <v>34050</v>
      </c>
      <c r="BA62" s="80">
        <v>33930</v>
      </c>
      <c r="BB62" s="80">
        <v>34610</v>
      </c>
      <c r="BC62" s="80">
        <v>35890</v>
      </c>
      <c r="BD62" s="80">
        <v>37090</v>
      </c>
      <c r="BE62" s="80">
        <v>36750</v>
      </c>
      <c r="BF62" s="80">
        <v>37620</v>
      </c>
      <c r="BG62" s="80">
        <v>37170</v>
      </c>
      <c r="BH62" s="80">
        <v>36710</v>
      </c>
      <c r="BI62" s="80">
        <v>36300</v>
      </c>
      <c r="BJ62" s="80">
        <v>35390</v>
      </c>
      <c r="BK62" s="80">
        <v>35320</v>
      </c>
      <c r="BL62" s="80">
        <v>35320</v>
      </c>
    </row>
    <row r="63" spans="1:64" x14ac:dyDescent="0.2">
      <c r="A63" s="28">
        <v>53</v>
      </c>
      <c r="B63" s="80">
        <v>25610</v>
      </c>
      <c r="C63" s="80">
        <v>26710</v>
      </c>
      <c r="D63" s="80">
        <v>27350</v>
      </c>
      <c r="E63" s="80">
        <v>28270</v>
      </c>
      <c r="F63" s="80">
        <v>28970</v>
      </c>
      <c r="G63" s="80">
        <v>29410</v>
      </c>
      <c r="H63" s="80">
        <v>30830</v>
      </c>
      <c r="I63" s="80">
        <v>31240</v>
      </c>
      <c r="J63" s="80">
        <v>32720</v>
      </c>
      <c r="K63" s="80">
        <v>33370</v>
      </c>
      <c r="L63" s="80">
        <v>33660</v>
      </c>
      <c r="M63" s="80">
        <v>33020</v>
      </c>
      <c r="N63" s="80">
        <v>31910</v>
      </c>
      <c r="O63" s="80">
        <v>31730</v>
      </c>
      <c r="P63" s="80">
        <v>32330</v>
      </c>
      <c r="Q63" s="80">
        <v>32610</v>
      </c>
      <c r="R63" s="80">
        <v>33180</v>
      </c>
      <c r="S63" s="80">
        <v>33150</v>
      </c>
      <c r="T63" s="80">
        <v>34480</v>
      </c>
      <c r="U63" s="80">
        <v>33710</v>
      </c>
      <c r="V63" s="80">
        <v>32730</v>
      </c>
      <c r="W63" s="80">
        <v>31650</v>
      </c>
      <c r="X63" s="80">
        <v>30490</v>
      </c>
      <c r="Y63" s="80">
        <v>29100</v>
      </c>
      <c r="Z63" s="80">
        <v>29260</v>
      </c>
      <c r="AA63" s="80">
        <v>28890</v>
      </c>
      <c r="AB63" s="80">
        <v>29930</v>
      </c>
      <c r="AC63" s="80">
        <v>30050</v>
      </c>
      <c r="AD63" s="80">
        <v>30380</v>
      </c>
      <c r="AE63" s="80">
        <v>31320</v>
      </c>
      <c r="AF63" s="80">
        <v>32010</v>
      </c>
      <c r="AG63" s="80">
        <v>32640</v>
      </c>
      <c r="AH63" s="80">
        <v>33690</v>
      </c>
      <c r="AI63" s="80">
        <v>34150</v>
      </c>
      <c r="AJ63" s="80">
        <v>35220</v>
      </c>
      <c r="AK63" s="80">
        <v>37230</v>
      </c>
      <c r="AL63" s="80">
        <v>38060</v>
      </c>
      <c r="AM63" s="80">
        <v>40060</v>
      </c>
      <c r="AN63" s="80">
        <v>41500</v>
      </c>
      <c r="AO63" s="80">
        <v>40900</v>
      </c>
      <c r="AP63" s="80">
        <v>40720</v>
      </c>
      <c r="AQ63" s="80">
        <v>39610</v>
      </c>
      <c r="AR63" s="80">
        <v>39200</v>
      </c>
      <c r="AS63" s="80">
        <v>38240</v>
      </c>
      <c r="AT63" s="80">
        <v>37800</v>
      </c>
      <c r="AU63" s="80">
        <v>36550</v>
      </c>
      <c r="AV63" s="80">
        <v>35400</v>
      </c>
      <c r="AW63" s="80">
        <v>36020</v>
      </c>
      <c r="AX63" s="80">
        <v>35260</v>
      </c>
      <c r="AY63" s="80">
        <v>33890</v>
      </c>
      <c r="AZ63" s="80">
        <v>33550</v>
      </c>
      <c r="BA63" s="80">
        <v>34030</v>
      </c>
      <c r="BB63" s="80">
        <v>33920</v>
      </c>
      <c r="BC63" s="80">
        <v>34600</v>
      </c>
      <c r="BD63" s="80">
        <v>35870</v>
      </c>
      <c r="BE63" s="80">
        <v>37080</v>
      </c>
      <c r="BF63" s="80">
        <v>36730</v>
      </c>
      <c r="BG63" s="80">
        <v>37610</v>
      </c>
      <c r="BH63" s="80">
        <v>37150</v>
      </c>
      <c r="BI63" s="80">
        <v>36690</v>
      </c>
      <c r="BJ63" s="80">
        <v>36290</v>
      </c>
      <c r="BK63" s="80">
        <v>35380</v>
      </c>
      <c r="BL63" s="80">
        <v>35310</v>
      </c>
    </row>
    <row r="64" spans="1:64" x14ac:dyDescent="0.2">
      <c r="A64" s="28">
        <v>54</v>
      </c>
      <c r="B64" s="80">
        <v>25210</v>
      </c>
      <c r="C64" s="80">
        <v>25540</v>
      </c>
      <c r="D64" s="80">
        <v>26610</v>
      </c>
      <c r="E64" s="80">
        <v>27230</v>
      </c>
      <c r="F64" s="80">
        <v>28220</v>
      </c>
      <c r="G64" s="80">
        <v>28900</v>
      </c>
      <c r="H64" s="80">
        <v>29320</v>
      </c>
      <c r="I64" s="80">
        <v>30700</v>
      </c>
      <c r="J64" s="80">
        <v>31170</v>
      </c>
      <c r="K64" s="80">
        <v>32670</v>
      </c>
      <c r="L64" s="80">
        <v>33350</v>
      </c>
      <c r="M64" s="80">
        <v>33650</v>
      </c>
      <c r="N64" s="80">
        <v>33010</v>
      </c>
      <c r="O64" s="80">
        <v>31880</v>
      </c>
      <c r="P64" s="80">
        <v>31690</v>
      </c>
      <c r="Q64" s="80">
        <v>32280</v>
      </c>
      <c r="R64" s="80">
        <v>32550</v>
      </c>
      <c r="S64" s="80">
        <v>33120</v>
      </c>
      <c r="T64" s="80">
        <v>33100</v>
      </c>
      <c r="U64" s="80">
        <v>34420</v>
      </c>
      <c r="V64" s="80">
        <v>33660</v>
      </c>
      <c r="W64" s="80">
        <v>32680</v>
      </c>
      <c r="X64" s="80">
        <v>31610</v>
      </c>
      <c r="Y64" s="80">
        <v>30450</v>
      </c>
      <c r="Z64" s="80">
        <v>29070</v>
      </c>
      <c r="AA64" s="80">
        <v>29230</v>
      </c>
      <c r="AB64" s="80">
        <v>28850</v>
      </c>
      <c r="AC64" s="80">
        <v>29900</v>
      </c>
      <c r="AD64" s="80">
        <v>30020</v>
      </c>
      <c r="AE64" s="80">
        <v>30350</v>
      </c>
      <c r="AF64" s="80">
        <v>31290</v>
      </c>
      <c r="AG64" s="80">
        <v>31980</v>
      </c>
      <c r="AH64" s="80">
        <v>32610</v>
      </c>
      <c r="AI64" s="80">
        <v>33660</v>
      </c>
      <c r="AJ64" s="80">
        <v>34120</v>
      </c>
      <c r="AK64" s="80">
        <v>35190</v>
      </c>
      <c r="AL64" s="80">
        <v>37200</v>
      </c>
      <c r="AM64" s="80">
        <v>38030</v>
      </c>
      <c r="AN64" s="80">
        <v>40030</v>
      </c>
      <c r="AO64" s="80">
        <v>41470</v>
      </c>
      <c r="AP64" s="80">
        <v>40870</v>
      </c>
      <c r="AQ64" s="80">
        <v>40690</v>
      </c>
      <c r="AR64" s="80">
        <v>39580</v>
      </c>
      <c r="AS64" s="80">
        <v>39180</v>
      </c>
      <c r="AT64" s="80">
        <v>38210</v>
      </c>
      <c r="AU64" s="80">
        <v>37780</v>
      </c>
      <c r="AV64" s="80">
        <v>36530</v>
      </c>
      <c r="AW64" s="80">
        <v>35380</v>
      </c>
      <c r="AX64" s="80">
        <v>36000</v>
      </c>
      <c r="AY64" s="80">
        <v>35240</v>
      </c>
      <c r="AZ64" s="80">
        <v>33880</v>
      </c>
      <c r="BA64" s="80">
        <v>33540</v>
      </c>
      <c r="BB64" s="80">
        <v>34020</v>
      </c>
      <c r="BC64" s="80">
        <v>33910</v>
      </c>
      <c r="BD64" s="80">
        <v>34590</v>
      </c>
      <c r="BE64" s="80">
        <v>35870</v>
      </c>
      <c r="BF64" s="80">
        <v>37070</v>
      </c>
      <c r="BG64" s="80">
        <v>36720</v>
      </c>
      <c r="BH64" s="80">
        <v>37600</v>
      </c>
      <c r="BI64" s="80">
        <v>37140</v>
      </c>
      <c r="BJ64" s="80">
        <v>36680</v>
      </c>
      <c r="BK64" s="80">
        <v>36280</v>
      </c>
      <c r="BL64" s="80">
        <v>35370</v>
      </c>
    </row>
    <row r="65" spans="1:64" x14ac:dyDescent="0.2">
      <c r="A65" s="28">
        <v>55</v>
      </c>
      <c r="B65" s="80">
        <v>24770</v>
      </c>
      <c r="C65" s="80">
        <v>25110</v>
      </c>
      <c r="D65" s="80">
        <v>25500</v>
      </c>
      <c r="E65" s="80">
        <v>26580</v>
      </c>
      <c r="F65" s="80">
        <v>27210</v>
      </c>
      <c r="G65" s="80">
        <v>28110</v>
      </c>
      <c r="H65" s="80">
        <v>28840</v>
      </c>
      <c r="I65" s="80">
        <v>29230</v>
      </c>
      <c r="J65" s="80">
        <v>30650</v>
      </c>
      <c r="K65" s="80">
        <v>31150</v>
      </c>
      <c r="L65" s="80">
        <v>32660</v>
      </c>
      <c r="M65" s="80">
        <v>33350</v>
      </c>
      <c r="N65" s="80">
        <v>33640</v>
      </c>
      <c r="O65" s="80">
        <v>32990</v>
      </c>
      <c r="P65" s="80">
        <v>31860</v>
      </c>
      <c r="Q65" s="80">
        <v>31660</v>
      </c>
      <c r="R65" s="80">
        <v>32240</v>
      </c>
      <c r="S65" s="80">
        <v>32500</v>
      </c>
      <c r="T65" s="80">
        <v>33080</v>
      </c>
      <c r="U65" s="80">
        <v>33050</v>
      </c>
      <c r="V65" s="80">
        <v>34380</v>
      </c>
      <c r="W65" s="80">
        <v>33610</v>
      </c>
      <c r="X65" s="80">
        <v>32650</v>
      </c>
      <c r="Y65" s="80">
        <v>31580</v>
      </c>
      <c r="Z65" s="80">
        <v>30420</v>
      </c>
      <c r="AA65" s="80">
        <v>29040</v>
      </c>
      <c r="AB65" s="80">
        <v>29200</v>
      </c>
      <c r="AC65" s="80">
        <v>28830</v>
      </c>
      <c r="AD65" s="80">
        <v>29880</v>
      </c>
      <c r="AE65" s="80">
        <v>30000</v>
      </c>
      <c r="AF65" s="80">
        <v>30330</v>
      </c>
      <c r="AG65" s="80">
        <v>31270</v>
      </c>
      <c r="AH65" s="80">
        <v>31960</v>
      </c>
      <c r="AI65" s="80">
        <v>32590</v>
      </c>
      <c r="AJ65" s="80">
        <v>33640</v>
      </c>
      <c r="AK65" s="80">
        <v>34100</v>
      </c>
      <c r="AL65" s="80">
        <v>35170</v>
      </c>
      <c r="AM65" s="80">
        <v>37180</v>
      </c>
      <c r="AN65" s="80">
        <v>38010</v>
      </c>
      <c r="AO65" s="80">
        <v>40010</v>
      </c>
      <c r="AP65" s="80">
        <v>41450</v>
      </c>
      <c r="AQ65" s="80">
        <v>40850</v>
      </c>
      <c r="AR65" s="80">
        <v>40680</v>
      </c>
      <c r="AS65" s="80">
        <v>39570</v>
      </c>
      <c r="AT65" s="80">
        <v>39160</v>
      </c>
      <c r="AU65" s="80">
        <v>38200</v>
      </c>
      <c r="AV65" s="80">
        <v>37770</v>
      </c>
      <c r="AW65" s="80">
        <v>36520</v>
      </c>
      <c r="AX65" s="80">
        <v>35380</v>
      </c>
      <c r="AY65" s="80">
        <v>36000</v>
      </c>
      <c r="AZ65" s="80">
        <v>35240</v>
      </c>
      <c r="BA65" s="80">
        <v>33880</v>
      </c>
      <c r="BB65" s="80">
        <v>33540</v>
      </c>
      <c r="BC65" s="80">
        <v>34030</v>
      </c>
      <c r="BD65" s="80">
        <v>33910</v>
      </c>
      <c r="BE65" s="80">
        <v>34590</v>
      </c>
      <c r="BF65" s="80">
        <v>35870</v>
      </c>
      <c r="BG65" s="80">
        <v>37070</v>
      </c>
      <c r="BH65" s="80">
        <v>36730</v>
      </c>
      <c r="BI65" s="80">
        <v>37600</v>
      </c>
      <c r="BJ65" s="80">
        <v>37150</v>
      </c>
      <c r="BK65" s="80">
        <v>36690</v>
      </c>
      <c r="BL65" s="80">
        <v>36290</v>
      </c>
    </row>
    <row r="66" spans="1:64" x14ac:dyDescent="0.2">
      <c r="A66" s="28">
        <v>56</v>
      </c>
      <c r="B66" s="80">
        <v>24930</v>
      </c>
      <c r="C66" s="80">
        <v>24730</v>
      </c>
      <c r="D66" s="80">
        <v>25040</v>
      </c>
      <c r="E66" s="80">
        <v>25500</v>
      </c>
      <c r="F66" s="80">
        <v>26570</v>
      </c>
      <c r="G66" s="80">
        <v>27160</v>
      </c>
      <c r="H66" s="80">
        <v>28040</v>
      </c>
      <c r="I66" s="80">
        <v>28790</v>
      </c>
      <c r="J66" s="80">
        <v>29210</v>
      </c>
      <c r="K66" s="80">
        <v>30630</v>
      </c>
      <c r="L66" s="80">
        <v>31190</v>
      </c>
      <c r="M66" s="80">
        <v>32680</v>
      </c>
      <c r="N66" s="80">
        <v>33350</v>
      </c>
      <c r="O66" s="80">
        <v>33630</v>
      </c>
      <c r="P66" s="80">
        <v>32970</v>
      </c>
      <c r="Q66" s="80">
        <v>31830</v>
      </c>
      <c r="R66" s="80">
        <v>31620</v>
      </c>
      <c r="S66" s="80">
        <v>32200</v>
      </c>
      <c r="T66" s="80">
        <v>32470</v>
      </c>
      <c r="U66" s="80">
        <v>33040</v>
      </c>
      <c r="V66" s="80">
        <v>33020</v>
      </c>
      <c r="W66" s="80">
        <v>34340</v>
      </c>
      <c r="X66" s="80">
        <v>33580</v>
      </c>
      <c r="Y66" s="80">
        <v>32620</v>
      </c>
      <c r="Z66" s="80">
        <v>31560</v>
      </c>
      <c r="AA66" s="80">
        <v>30400</v>
      </c>
      <c r="AB66" s="80">
        <v>29030</v>
      </c>
      <c r="AC66" s="80">
        <v>29190</v>
      </c>
      <c r="AD66" s="80">
        <v>28820</v>
      </c>
      <c r="AE66" s="80">
        <v>29870</v>
      </c>
      <c r="AF66" s="80">
        <v>29990</v>
      </c>
      <c r="AG66" s="80">
        <v>30320</v>
      </c>
      <c r="AH66" s="80">
        <v>31260</v>
      </c>
      <c r="AI66" s="80">
        <v>31950</v>
      </c>
      <c r="AJ66" s="80">
        <v>32580</v>
      </c>
      <c r="AK66" s="80">
        <v>33630</v>
      </c>
      <c r="AL66" s="80">
        <v>34100</v>
      </c>
      <c r="AM66" s="80">
        <v>35170</v>
      </c>
      <c r="AN66" s="80">
        <v>37170</v>
      </c>
      <c r="AO66" s="80">
        <v>38000</v>
      </c>
      <c r="AP66" s="80">
        <v>40000</v>
      </c>
      <c r="AQ66" s="80">
        <v>41440</v>
      </c>
      <c r="AR66" s="80">
        <v>40840</v>
      </c>
      <c r="AS66" s="80">
        <v>40670</v>
      </c>
      <c r="AT66" s="80">
        <v>39560</v>
      </c>
      <c r="AU66" s="80">
        <v>39160</v>
      </c>
      <c r="AV66" s="80">
        <v>38200</v>
      </c>
      <c r="AW66" s="80">
        <v>37770</v>
      </c>
      <c r="AX66" s="80">
        <v>36530</v>
      </c>
      <c r="AY66" s="80">
        <v>35380</v>
      </c>
      <c r="AZ66" s="80">
        <v>36000</v>
      </c>
      <c r="BA66" s="80">
        <v>35250</v>
      </c>
      <c r="BB66" s="80">
        <v>33890</v>
      </c>
      <c r="BC66" s="80">
        <v>33550</v>
      </c>
      <c r="BD66" s="80">
        <v>34040</v>
      </c>
      <c r="BE66" s="80">
        <v>33920</v>
      </c>
      <c r="BF66" s="80">
        <v>34600</v>
      </c>
      <c r="BG66" s="80">
        <v>35880</v>
      </c>
      <c r="BH66" s="80">
        <v>37080</v>
      </c>
      <c r="BI66" s="80">
        <v>36740</v>
      </c>
      <c r="BJ66" s="80">
        <v>37620</v>
      </c>
      <c r="BK66" s="80">
        <v>37160</v>
      </c>
      <c r="BL66" s="80">
        <v>36710</v>
      </c>
    </row>
    <row r="67" spans="1:64" x14ac:dyDescent="0.2">
      <c r="A67" s="28">
        <v>57</v>
      </c>
      <c r="B67" s="80">
        <v>24090</v>
      </c>
      <c r="C67" s="80">
        <v>24850</v>
      </c>
      <c r="D67" s="80">
        <v>24680</v>
      </c>
      <c r="E67" s="80">
        <v>25000</v>
      </c>
      <c r="F67" s="80">
        <v>25510</v>
      </c>
      <c r="G67" s="80">
        <v>26540</v>
      </c>
      <c r="H67" s="80">
        <v>27140</v>
      </c>
      <c r="I67" s="80">
        <v>27970</v>
      </c>
      <c r="J67" s="80">
        <v>28750</v>
      </c>
      <c r="K67" s="80">
        <v>29250</v>
      </c>
      <c r="L67" s="80">
        <v>30660</v>
      </c>
      <c r="M67" s="80">
        <v>31220</v>
      </c>
      <c r="N67" s="80">
        <v>32690</v>
      </c>
      <c r="O67" s="80">
        <v>33350</v>
      </c>
      <c r="P67" s="80">
        <v>33620</v>
      </c>
      <c r="Q67" s="80">
        <v>32940</v>
      </c>
      <c r="R67" s="80">
        <v>31790</v>
      </c>
      <c r="S67" s="80">
        <v>31590</v>
      </c>
      <c r="T67" s="80">
        <v>32160</v>
      </c>
      <c r="U67" s="80">
        <v>32440</v>
      </c>
      <c r="V67" s="80">
        <v>33010</v>
      </c>
      <c r="W67" s="80">
        <v>32990</v>
      </c>
      <c r="X67" s="80">
        <v>34320</v>
      </c>
      <c r="Y67" s="80">
        <v>33560</v>
      </c>
      <c r="Z67" s="80">
        <v>32600</v>
      </c>
      <c r="AA67" s="80">
        <v>31540</v>
      </c>
      <c r="AB67" s="80">
        <v>30390</v>
      </c>
      <c r="AC67" s="80">
        <v>29020</v>
      </c>
      <c r="AD67" s="80">
        <v>29190</v>
      </c>
      <c r="AE67" s="80">
        <v>28820</v>
      </c>
      <c r="AF67" s="80">
        <v>29860</v>
      </c>
      <c r="AG67" s="80">
        <v>29990</v>
      </c>
      <c r="AH67" s="80">
        <v>30320</v>
      </c>
      <c r="AI67" s="80">
        <v>31260</v>
      </c>
      <c r="AJ67" s="80">
        <v>31950</v>
      </c>
      <c r="AK67" s="80">
        <v>32580</v>
      </c>
      <c r="AL67" s="80">
        <v>33640</v>
      </c>
      <c r="AM67" s="80">
        <v>34100</v>
      </c>
      <c r="AN67" s="80">
        <v>35170</v>
      </c>
      <c r="AO67" s="80">
        <v>37170</v>
      </c>
      <c r="AP67" s="80">
        <v>38000</v>
      </c>
      <c r="AQ67" s="80">
        <v>40000</v>
      </c>
      <c r="AR67" s="80">
        <v>41440</v>
      </c>
      <c r="AS67" s="80">
        <v>40850</v>
      </c>
      <c r="AT67" s="80">
        <v>40680</v>
      </c>
      <c r="AU67" s="80">
        <v>39570</v>
      </c>
      <c r="AV67" s="80">
        <v>39170</v>
      </c>
      <c r="AW67" s="80">
        <v>38220</v>
      </c>
      <c r="AX67" s="80">
        <v>37780</v>
      </c>
      <c r="AY67" s="80">
        <v>36540</v>
      </c>
      <c r="AZ67" s="80">
        <v>35400</v>
      </c>
      <c r="BA67" s="80">
        <v>36020</v>
      </c>
      <c r="BB67" s="80">
        <v>35270</v>
      </c>
      <c r="BC67" s="80">
        <v>33910</v>
      </c>
      <c r="BD67" s="80">
        <v>33570</v>
      </c>
      <c r="BE67" s="80">
        <v>34060</v>
      </c>
      <c r="BF67" s="80">
        <v>33950</v>
      </c>
      <c r="BG67" s="80">
        <v>34630</v>
      </c>
      <c r="BH67" s="80">
        <v>35900</v>
      </c>
      <c r="BI67" s="80">
        <v>37100</v>
      </c>
      <c r="BJ67" s="80">
        <v>36770</v>
      </c>
      <c r="BK67" s="80">
        <v>37640</v>
      </c>
      <c r="BL67" s="80">
        <v>37190</v>
      </c>
    </row>
    <row r="68" spans="1:64" x14ac:dyDescent="0.2">
      <c r="A68" s="28">
        <v>58</v>
      </c>
      <c r="B68" s="80">
        <v>24480</v>
      </c>
      <c r="C68" s="80">
        <v>24050</v>
      </c>
      <c r="D68" s="80">
        <v>24700</v>
      </c>
      <c r="E68" s="80">
        <v>24570</v>
      </c>
      <c r="F68" s="80">
        <v>25000</v>
      </c>
      <c r="G68" s="80">
        <v>25480</v>
      </c>
      <c r="H68" s="80">
        <v>26530</v>
      </c>
      <c r="I68" s="80">
        <v>27100</v>
      </c>
      <c r="J68" s="80">
        <v>27950</v>
      </c>
      <c r="K68" s="80">
        <v>28800</v>
      </c>
      <c r="L68" s="80">
        <v>29310</v>
      </c>
      <c r="M68" s="80">
        <v>30700</v>
      </c>
      <c r="N68" s="80">
        <v>31250</v>
      </c>
      <c r="O68" s="80">
        <v>32700</v>
      </c>
      <c r="P68" s="80">
        <v>33340</v>
      </c>
      <c r="Q68" s="80">
        <v>33600</v>
      </c>
      <c r="R68" s="80">
        <v>32910</v>
      </c>
      <c r="S68" s="80">
        <v>31770</v>
      </c>
      <c r="T68" s="80">
        <v>31560</v>
      </c>
      <c r="U68" s="80">
        <v>32140</v>
      </c>
      <c r="V68" s="80">
        <v>32410</v>
      </c>
      <c r="W68" s="80">
        <v>32990</v>
      </c>
      <c r="X68" s="80">
        <v>32980</v>
      </c>
      <c r="Y68" s="80">
        <v>34300</v>
      </c>
      <c r="Z68" s="80">
        <v>33550</v>
      </c>
      <c r="AA68" s="80">
        <v>32590</v>
      </c>
      <c r="AB68" s="80">
        <v>31540</v>
      </c>
      <c r="AC68" s="80">
        <v>30390</v>
      </c>
      <c r="AD68" s="80">
        <v>29030</v>
      </c>
      <c r="AE68" s="80">
        <v>29190</v>
      </c>
      <c r="AF68" s="80">
        <v>28830</v>
      </c>
      <c r="AG68" s="80">
        <v>29870</v>
      </c>
      <c r="AH68" s="80">
        <v>29990</v>
      </c>
      <c r="AI68" s="80">
        <v>30330</v>
      </c>
      <c r="AJ68" s="80">
        <v>31270</v>
      </c>
      <c r="AK68" s="80">
        <v>31960</v>
      </c>
      <c r="AL68" s="80">
        <v>32590</v>
      </c>
      <c r="AM68" s="80">
        <v>33650</v>
      </c>
      <c r="AN68" s="80">
        <v>34110</v>
      </c>
      <c r="AO68" s="80">
        <v>35180</v>
      </c>
      <c r="AP68" s="80">
        <v>37180</v>
      </c>
      <c r="AQ68" s="80">
        <v>38010</v>
      </c>
      <c r="AR68" s="80">
        <v>40010</v>
      </c>
      <c r="AS68" s="80">
        <v>41450</v>
      </c>
      <c r="AT68" s="80">
        <v>40860</v>
      </c>
      <c r="AU68" s="80">
        <v>40690</v>
      </c>
      <c r="AV68" s="80">
        <v>39590</v>
      </c>
      <c r="AW68" s="80">
        <v>39190</v>
      </c>
      <c r="AX68" s="80">
        <v>38240</v>
      </c>
      <c r="AY68" s="80">
        <v>37810</v>
      </c>
      <c r="AZ68" s="80">
        <v>36570</v>
      </c>
      <c r="BA68" s="80">
        <v>35430</v>
      </c>
      <c r="BB68" s="80">
        <v>36050</v>
      </c>
      <c r="BC68" s="80">
        <v>35300</v>
      </c>
      <c r="BD68" s="80">
        <v>33940</v>
      </c>
      <c r="BE68" s="80">
        <v>33600</v>
      </c>
      <c r="BF68" s="80">
        <v>34090</v>
      </c>
      <c r="BG68" s="80">
        <v>33980</v>
      </c>
      <c r="BH68" s="80">
        <v>34660</v>
      </c>
      <c r="BI68" s="80">
        <v>35940</v>
      </c>
      <c r="BJ68" s="80">
        <v>37140</v>
      </c>
      <c r="BK68" s="80">
        <v>36800</v>
      </c>
      <c r="BL68" s="80">
        <v>37680</v>
      </c>
    </row>
    <row r="69" spans="1:64" x14ac:dyDescent="0.2">
      <c r="A69" s="28">
        <v>59</v>
      </c>
      <c r="B69" s="80">
        <v>24660</v>
      </c>
      <c r="C69" s="80">
        <v>24450</v>
      </c>
      <c r="D69" s="80">
        <v>23980</v>
      </c>
      <c r="E69" s="80">
        <v>24630</v>
      </c>
      <c r="F69" s="80">
        <v>24500</v>
      </c>
      <c r="G69" s="80">
        <v>24970</v>
      </c>
      <c r="H69" s="80">
        <v>25480</v>
      </c>
      <c r="I69" s="80">
        <v>26490</v>
      </c>
      <c r="J69" s="80">
        <v>27120</v>
      </c>
      <c r="K69" s="80">
        <v>28010</v>
      </c>
      <c r="L69" s="80">
        <v>28900</v>
      </c>
      <c r="M69" s="80">
        <v>29370</v>
      </c>
      <c r="N69" s="80">
        <v>30740</v>
      </c>
      <c r="O69" s="80">
        <v>31270</v>
      </c>
      <c r="P69" s="80">
        <v>32700</v>
      </c>
      <c r="Q69" s="80">
        <v>33330</v>
      </c>
      <c r="R69" s="80">
        <v>33560</v>
      </c>
      <c r="S69" s="80">
        <v>32880</v>
      </c>
      <c r="T69" s="80">
        <v>31740</v>
      </c>
      <c r="U69" s="80">
        <v>31540</v>
      </c>
      <c r="V69" s="80">
        <v>32120</v>
      </c>
      <c r="W69" s="80">
        <v>32400</v>
      </c>
      <c r="X69" s="80">
        <v>32980</v>
      </c>
      <c r="Y69" s="80">
        <v>32960</v>
      </c>
      <c r="Z69" s="80">
        <v>34280</v>
      </c>
      <c r="AA69" s="80">
        <v>33540</v>
      </c>
      <c r="AB69" s="80">
        <v>32590</v>
      </c>
      <c r="AC69" s="80">
        <v>31540</v>
      </c>
      <c r="AD69" s="80">
        <v>30400</v>
      </c>
      <c r="AE69" s="80">
        <v>29040</v>
      </c>
      <c r="AF69" s="80">
        <v>29200</v>
      </c>
      <c r="AG69" s="80">
        <v>28840</v>
      </c>
      <c r="AH69" s="80">
        <v>29880</v>
      </c>
      <c r="AI69" s="80">
        <v>30010</v>
      </c>
      <c r="AJ69" s="80">
        <v>30350</v>
      </c>
      <c r="AK69" s="80">
        <v>31290</v>
      </c>
      <c r="AL69" s="80">
        <v>31980</v>
      </c>
      <c r="AM69" s="80">
        <v>32610</v>
      </c>
      <c r="AN69" s="80">
        <v>33660</v>
      </c>
      <c r="AO69" s="80">
        <v>34130</v>
      </c>
      <c r="AP69" s="80">
        <v>35200</v>
      </c>
      <c r="AQ69" s="80">
        <v>37200</v>
      </c>
      <c r="AR69" s="80">
        <v>38030</v>
      </c>
      <c r="AS69" s="80">
        <v>40020</v>
      </c>
      <c r="AT69" s="80">
        <v>41460</v>
      </c>
      <c r="AU69" s="80">
        <v>40880</v>
      </c>
      <c r="AV69" s="80">
        <v>40710</v>
      </c>
      <c r="AW69" s="80">
        <v>39610</v>
      </c>
      <c r="AX69" s="80">
        <v>39210</v>
      </c>
      <c r="AY69" s="80">
        <v>38260</v>
      </c>
      <c r="AZ69" s="80">
        <v>37840</v>
      </c>
      <c r="BA69" s="80">
        <v>36600</v>
      </c>
      <c r="BB69" s="80">
        <v>35460</v>
      </c>
      <c r="BC69" s="80">
        <v>36080</v>
      </c>
      <c r="BD69" s="80">
        <v>35340</v>
      </c>
      <c r="BE69" s="80">
        <v>33980</v>
      </c>
      <c r="BF69" s="80">
        <v>33640</v>
      </c>
      <c r="BG69" s="80">
        <v>34130</v>
      </c>
      <c r="BH69" s="80">
        <v>34020</v>
      </c>
      <c r="BI69" s="80">
        <v>34700</v>
      </c>
      <c r="BJ69" s="80">
        <v>35980</v>
      </c>
      <c r="BK69" s="80">
        <v>37180</v>
      </c>
      <c r="BL69" s="80">
        <v>36840</v>
      </c>
    </row>
    <row r="70" spans="1:64" x14ac:dyDescent="0.2">
      <c r="A70" s="28">
        <v>60</v>
      </c>
      <c r="B70" s="80">
        <v>20800</v>
      </c>
      <c r="C70" s="80">
        <v>24570</v>
      </c>
      <c r="D70" s="80">
        <v>24410</v>
      </c>
      <c r="E70" s="80">
        <v>23930</v>
      </c>
      <c r="F70" s="80">
        <v>24560</v>
      </c>
      <c r="G70" s="80">
        <v>24490</v>
      </c>
      <c r="H70" s="80">
        <v>24980</v>
      </c>
      <c r="I70" s="80">
        <v>25490</v>
      </c>
      <c r="J70" s="80">
        <v>26520</v>
      </c>
      <c r="K70" s="80">
        <v>27160</v>
      </c>
      <c r="L70" s="80">
        <v>28060</v>
      </c>
      <c r="M70" s="80">
        <v>28960</v>
      </c>
      <c r="N70" s="80">
        <v>29410</v>
      </c>
      <c r="O70" s="80">
        <v>30760</v>
      </c>
      <c r="P70" s="80">
        <v>31270</v>
      </c>
      <c r="Q70" s="80">
        <v>32680</v>
      </c>
      <c r="R70" s="80">
        <v>33280</v>
      </c>
      <c r="S70" s="80">
        <v>33520</v>
      </c>
      <c r="T70" s="80">
        <v>32850</v>
      </c>
      <c r="U70" s="80">
        <v>31720</v>
      </c>
      <c r="V70" s="80">
        <v>31520</v>
      </c>
      <c r="W70" s="80">
        <v>32100</v>
      </c>
      <c r="X70" s="80">
        <v>32380</v>
      </c>
      <c r="Y70" s="80">
        <v>32960</v>
      </c>
      <c r="Z70" s="80">
        <v>32950</v>
      </c>
      <c r="AA70" s="80">
        <v>34270</v>
      </c>
      <c r="AB70" s="80">
        <v>33530</v>
      </c>
      <c r="AC70" s="80">
        <v>32580</v>
      </c>
      <c r="AD70" s="80">
        <v>31540</v>
      </c>
      <c r="AE70" s="80">
        <v>30400</v>
      </c>
      <c r="AF70" s="80">
        <v>29050</v>
      </c>
      <c r="AG70" s="80">
        <v>29220</v>
      </c>
      <c r="AH70" s="80">
        <v>28860</v>
      </c>
      <c r="AI70" s="80">
        <v>29900</v>
      </c>
      <c r="AJ70" s="80">
        <v>30020</v>
      </c>
      <c r="AK70" s="80">
        <v>30370</v>
      </c>
      <c r="AL70" s="80">
        <v>31300</v>
      </c>
      <c r="AM70" s="80">
        <v>32000</v>
      </c>
      <c r="AN70" s="80">
        <v>32630</v>
      </c>
      <c r="AO70" s="80">
        <v>33680</v>
      </c>
      <c r="AP70" s="80">
        <v>34150</v>
      </c>
      <c r="AQ70" s="80">
        <v>35220</v>
      </c>
      <c r="AR70" s="80">
        <v>37220</v>
      </c>
      <c r="AS70" s="80">
        <v>38050</v>
      </c>
      <c r="AT70" s="80">
        <v>40040</v>
      </c>
      <c r="AU70" s="80">
        <v>41480</v>
      </c>
      <c r="AV70" s="80">
        <v>40900</v>
      </c>
      <c r="AW70" s="80">
        <v>40730</v>
      </c>
      <c r="AX70" s="80">
        <v>39630</v>
      </c>
      <c r="AY70" s="80">
        <v>39240</v>
      </c>
      <c r="AZ70" s="80">
        <v>38290</v>
      </c>
      <c r="BA70" s="80">
        <v>37870</v>
      </c>
      <c r="BB70" s="80">
        <v>36630</v>
      </c>
      <c r="BC70" s="80">
        <v>35500</v>
      </c>
      <c r="BD70" s="80">
        <v>36120</v>
      </c>
      <c r="BE70" s="80">
        <v>35370</v>
      </c>
      <c r="BF70" s="80">
        <v>34020</v>
      </c>
      <c r="BG70" s="80">
        <v>33690</v>
      </c>
      <c r="BH70" s="80">
        <v>34180</v>
      </c>
      <c r="BI70" s="80">
        <v>34060</v>
      </c>
      <c r="BJ70" s="80">
        <v>34750</v>
      </c>
      <c r="BK70" s="80">
        <v>36020</v>
      </c>
      <c r="BL70" s="80">
        <v>37220</v>
      </c>
    </row>
    <row r="71" spans="1:64" x14ac:dyDescent="0.2">
      <c r="A71" s="28">
        <v>61</v>
      </c>
      <c r="B71" s="80">
        <v>19700</v>
      </c>
      <c r="C71" s="80">
        <v>20750</v>
      </c>
      <c r="D71" s="80">
        <v>24470</v>
      </c>
      <c r="E71" s="80">
        <v>24340</v>
      </c>
      <c r="F71" s="80">
        <v>23890</v>
      </c>
      <c r="G71" s="80">
        <v>24540</v>
      </c>
      <c r="H71" s="80">
        <v>24440</v>
      </c>
      <c r="I71" s="80">
        <v>24970</v>
      </c>
      <c r="J71" s="80">
        <v>25480</v>
      </c>
      <c r="K71" s="80">
        <v>26560</v>
      </c>
      <c r="L71" s="80">
        <v>27290</v>
      </c>
      <c r="M71" s="80">
        <v>28100</v>
      </c>
      <c r="N71" s="80">
        <v>28980</v>
      </c>
      <c r="O71" s="80">
        <v>29410</v>
      </c>
      <c r="P71" s="80">
        <v>30750</v>
      </c>
      <c r="Q71" s="80">
        <v>31240</v>
      </c>
      <c r="R71" s="80">
        <v>32630</v>
      </c>
      <c r="S71" s="80">
        <v>33240</v>
      </c>
      <c r="T71" s="80">
        <v>33480</v>
      </c>
      <c r="U71" s="80">
        <v>32810</v>
      </c>
      <c r="V71" s="80">
        <v>31680</v>
      </c>
      <c r="W71" s="80">
        <v>31490</v>
      </c>
      <c r="X71" s="80">
        <v>32070</v>
      </c>
      <c r="Y71" s="80">
        <v>32360</v>
      </c>
      <c r="Z71" s="80">
        <v>32930</v>
      </c>
      <c r="AA71" s="80">
        <v>32930</v>
      </c>
      <c r="AB71" s="80">
        <v>34250</v>
      </c>
      <c r="AC71" s="80">
        <v>33510</v>
      </c>
      <c r="AD71" s="80">
        <v>32570</v>
      </c>
      <c r="AE71" s="80">
        <v>31530</v>
      </c>
      <c r="AF71" s="80">
        <v>30400</v>
      </c>
      <c r="AG71" s="80">
        <v>29050</v>
      </c>
      <c r="AH71" s="80">
        <v>29220</v>
      </c>
      <c r="AI71" s="80">
        <v>28870</v>
      </c>
      <c r="AJ71" s="80">
        <v>29910</v>
      </c>
      <c r="AK71" s="80">
        <v>30030</v>
      </c>
      <c r="AL71" s="80">
        <v>30380</v>
      </c>
      <c r="AM71" s="80">
        <v>31320</v>
      </c>
      <c r="AN71" s="80">
        <v>32010</v>
      </c>
      <c r="AO71" s="80">
        <v>32640</v>
      </c>
      <c r="AP71" s="80">
        <v>33690</v>
      </c>
      <c r="AQ71" s="80">
        <v>34160</v>
      </c>
      <c r="AR71" s="80">
        <v>35230</v>
      </c>
      <c r="AS71" s="80">
        <v>37230</v>
      </c>
      <c r="AT71" s="80">
        <v>38060</v>
      </c>
      <c r="AU71" s="80">
        <v>40050</v>
      </c>
      <c r="AV71" s="80">
        <v>41490</v>
      </c>
      <c r="AW71" s="80">
        <v>40910</v>
      </c>
      <c r="AX71" s="80">
        <v>40750</v>
      </c>
      <c r="AY71" s="80">
        <v>39650</v>
      </c>
      <c r="AZ71" s="80">
        <v>39260</v>
      </c>
      <c r="BA71" s="80">
        <v>38320</v>
      </c>
      <c r="BB71" s="80">
        <v>37890</v>
      </c>
      <c r="BC71" s="80">
        <v>36660</v>
      </c>
      <c r="BD71" s="80">
        <v>35530</v>
      </c>
      <c r="BE71" s="80">
        <v>36150</v>
      </c>
      <c r="BF71" s="80">
        <v>35410</v>
      </c>
      <c r="BG71" s="80">
        <v>34060</v>
      </c>
      <c r="BH71" s="80">
        <v>33720</v>
      </c>
      <c r="BI71" s="80">
        <v>34220</v>
      </c>
      <c r="BJ71" s="80">
        <v>34110</v>
      </c>
      <c r="BK71" s="80">
        <v>34790</v>
      </c>
      <c r="BL71" s="80">
        <v>36060</v>
      </c>
    </row>
    <row r="72" spans="1:64" x14ac:dyDescent="0.2">
      <c r="A72" s="28">
        <v>62</v>
      </c>
      <c r="B72" s="80">
        <v>18680</v>
      </c>
      <c r="C72" s="80">
        <v>19610</v>
      </c>
      <c r="D72" s="80">
        <v>20680</v>
      </c>
      <c r="E72" s="80">
        <v>24370</v>
      </c>
      <c r="F72" s="80">
        <v>24280</v>
      </c>
      <c r="G72" s="80">
        <v>23840</v>
      </c>
      <c r="H72" s="80">
        <v>24510</v>
      </c>
      <c r="I72" s="80">
        <v>24380</v>
      </c>
      <c r="J72" s="80">
        <v>24990</v>
      </c>
      <c r="K72" s="80">
        <v>25470</v>
      </c>
      <c r="L72" s="80">
        <v>26610</v>
      </c>
      <c r="M72" s="80">
        <v>27320</v>
      </c>
      <c r="N72" s="80">
        <v>28110</v>
      </c>
      <c r="O72" s="80">
        <v>28970</v>
      </c>
      <c r="P72" s="80">
        <v>29390</v>
      </c>
      <c r="Q72" s="80">
        <v>30700</v>
      </c>
      <c r="R72" s="80">
        <v>31180</v>
      </c>
      <c r="S72" s="80">
        <v>32570</v>
      </c>
      <c r="T72" s="80">
        <v>33180</v>
      </c>
      <c r="U72" s="80">
        <v>33420</v>
      </c>
      <c r="V72" s="80">
        <v>32760</v>
      </c>
      <c r="W72" s="80">
        <v>31650</v>
      </c>
      <c r="X72" s="80">
        <v>31460</v>
      </c>
      <c r="Y72" s="80">
        <v>32040</v>
      </c>
      <c r="Z72" s="80">
        <v>32320</v>
      </c>
      <c r="AA72" s="80">
        <v>32910</v>
      </c>
      <c r="AB72" s="80">
        <v>32900</v>
      </c>
      <c r="AC72" s="80">
        <v>34220</v>
      </c>
      <c r="AD72" s="80">
        <v>33490</v>
      </c>
      <c r="AE72" s="80">
        <v>32550</v>
      </c>
      <c r="AF72" s="80">
        <v>31520</v>
      </c>
      <c r="AG72" s="80">
        <v>30400</v>
      </c>
      <c r="AH72" s="80">
        <v>29050</v>
      </c>
      <c r="AI72" s="80">
        <v>29220</v>
      </c>
      <c r="AJ72" s="80">
        <v>28870</v>
      </c>
      <c r="AK72" s="80">
        <v>29910</v>
      </c>
      <c r="AL72" s="80">
        <v>30040</v>
      </c>
      <c r="AM72" s="80">
        <v>30390</v>
      </c>
      <c r="AN72" s="80">
        <v>31320</v>
      </c>
      <c r="AO72" s="80">
        <v>32020</v>
      </c>
      <c r="AP72" s="80">
        <v>32650</v>
      </c>
      <c r="AQ72" s="80">
        <v>33700</v>
      </c>
      <c r="AR72" s="80">
        <v>34170</v>
      </c>
      <c r="AS72" s="80">
        <v>35240</v>
      </c>
      <c r="AT72" s="80">
        <v>37240</v>
      </c>
      <c r="AU72" s="80">
        <v>38070</v>
      </c>
      <c r="AV72" s="80">
        <v>40060</v>
      </c>
      <c r="AW72" s="80">
        <v>41500</v>
      </c>
      <c r="AX72" s="80">
        <v>40920</v>
      </c>
      <c r="AY72" s="80">
        <v>40760</v>
      </c>
      <c r="AZ72" s="80">
        <v>39670</v>
      </c>
      <c r="BA72" s="80">
        <v>39280</v>
      </c>
      <c r="BB72" s="80">
        <v>38340</v>
      </c>
      <c r="BC72" s="80">
        <v>37920</v>
      </c>
      <c r="BD72" s="80">
        <v>36690</v>
      </c>
      <c r="BE72" s="80">
        <v>35560</v>
      </c>
      <c r="BF72" s="80">
        <v>36180</v>
      </c>
      <c r="BG72" s="80">
        <v>35440</v>
      </c>
      <c r="BH72" s="80">
        <v>34090</v>
      </c>
      <c r="BI72" s="80">
        <v>33760</v>
      </c>
      <c r="BJ72" s="80">
        <v>34250</v>
      </c>
      <c r="BK72" s="80">
        <v>34140</v>
      </c>
      <c r="BL72" s="80">
        <v>34830</v>
      </c>
    </row>
    <row r="73" spans="1:64" x14ac:dyDescent="0.2">
      <c r="A73" s="28">
        <v>63</v>
      </c>
      <c r="B73" s="80">
        <v>16840</v>
      </c>
      <c r="C73" s="80">
        <v>18600</v>
      </c>
      <c r="D73" s="80">
        <v>19540</v>
      </c>
      <c r="E73" s="80">
        <v>20580</v>
      </c>
      <c r="F73" s="80">
        <v>24270</v>
      </c>
      <c r="G73" s="80">
        <v>24200</v>
      </c>
      <c r="H73" s="80">
        <v>23820</v>
      </c>
      <c r="I73" s="80">
        <v>24470</v>
      </c>
      <c r="J73" s="80">
        <v>24330</v>
      </c>
      <c r="K73" s="80">
        <v>25040</v>
      </c>
      <c r="L73" s="80">
        <v>25450</v>
      </c>
      <c r="M73" s="80">
        <v>26610</v>
      </c>
      <c r="N73" s="80">
        <v>27310</v>
      </c>
      <c r="O73" s="80">
        <v>28090</v>
      </c>
      <c r="P73" s="80">
        <v>28930</v>
      </c>
      <c r="Q73" s="80">
        <v>29340</v>
      </c>
      <c r="R73" s="80">
        <v>30630</v>
      </c>
      <c r="S73" s="80">
        <v>31120</v>
      </c>
      <c r="T73" s="80">
        <v>32500</v>
      </c>
      <c r="U73" s="80">
        <v>33110</v>
      </c>
      <c r="V73" s="80">
        <v>33360</v>
      </c>
      <c r="W73" s="80">
        <v>32700</v>
      </c>
      <c r="X73" s="80">
        <v>31590</v>
      </c>
      <c r="Y73" s="80">
        <v>31410</v>
      </c>
      <c r="Z73" s="80">
        <v>32000</v>
      </c>
      <c r="AA73" s="80">
        <v>32280</v>
      </c>
      <c r="AB73" s="80">
        <v>32860</v>
      </c>
      <c r="AC73" s="80">
        <v>32870</v>
      </c>
      <c r="AD73" s="80">
        <v>34180</v>
      </c>
      <c r="AE73" s="80">
        <v>33460</v>
      </c>
      <c r="AF73" s="80">
        <v>32530</v>
      </c>
      <c r="AG73" s="80">
        <v>31500</v>
      </c>
      <c r="AH73" s="80">
        <v>30380</v>
      </c>
      <c r="AI73" s="80">
        <v>29040</v>
      </c>
      <c r="AJ73" s="80">
        <v>29220</v>
      </c>
      <c r="AK73" s="80">
        <v>28870</v>
      </c>
      <c r="AL73" s="80">
        <v>29910</v>
      </c>
      <c r="AM73" s="80">
        <v>30040</v>
      </c>
      <c r="AN73" s="80">
        <v>30380</v>
      </c>
      <c r="AO73" s="80">
        <v>31320</v>
      </c>
      <c r="AP73" s="80">
        <v>32020</v>
      </c>
      <c r="AQ73" s="80">
        <v>32650</v>
      </c>
      <c r="AR73" s="80">
        <v>33700</v>
      </c>
      <c r="AS73" s="80">
        <v>34170</v>
      </c>
      <c r="AT73" s="80">
        <v>35240</v>
      </c>
      <c r="AU73" s="80">
        <v>37240</v>
      </c>
      <c r="AV73" s="80">
        <v>38070</v>
      </c>
      <c r="AW73" s="80">
        <v>40060</v>
      </c>
      <c r="AX73" s="80">
        <v>41500</v>
      </c>
      <c r="AY73" s="80">
        <v>40920</v>
      </c>
      <c r="AZ73" s="80">
        <v>40760</v>
      </c>
      <c r="BA73" s="80">
        <v>39680</v>
      </c>
      <c r="BB73" s="80">
        <v>39290</v>
      </c>
      <c r="BC73" s="80">
        <v>38350</v>
      </c>
      <c r="BD73" s="80">
        <v>37930</v>
      </c>
      <c r="BE73" s="80">
        <v>36710</v>
      </c>
      <c r="BF73" s="80">
        <v>35580</v>
      </c>
      <c r="BG73" s="80">
        <v>36200</v>
      </c>
      <c r="BH73" s="80">
        <v>35460</v>
      </c>
      <c r="BI73" s="80">
        <v>34120</v>
      </c>
      <c r="BJ73" s="80">
        <v>33790</v>
      </c>
      <c r="BK73" s="80">
        <v>34280</v>
      </c>
      <c r="BL73" s="80">
        <v>34170</v>
      </c>
    </row>
    <row r="74" spans="1:64" x14ac:dyDescent="0.2">
      <c r="A74" s="28">
        <v>64</v>
      </c>
      <c r="B74" s="80">
        <v>18730</v>
      </c>
      <c r="C74" s="80">
        <v>16750</v>
      </c>
      <c r="D74" s="80">
        <v>18530</v>
      </c>
      <c r="E74" s="80">
        <v>19490</v>
      </c>
      <c r="F74" s="80">
        <v>20520</v>
      </c>
      <c r="G74" s="80">
        <v>24170</v>
      </c>
      <c r="H74" s="80">
        <v>24150</v>
      </c>
      <c r="I74" s="80">
        <v>23800</v>
      </c>
      <c r="J74" s="80">
        <v>24420</v>
      </c>
      <c r="K74" s="80">
        <v>24270</v>
      </c>
      <c r="L74" s="80">
        <v>25000</v>
      </c>
      <c r="M74" s="80">
        <v>25430</v>
      </c>
      <c r="N74" s="80">
        <v>26580</v>
      </c>
      <c r="O74" s="80">
        <v>27260</v>
      </c>
      <c r="P74" s="80">
        <v>28020</v>
      </c>
      <c r="Q74" s="80">
        <v>28850</v>
      </c>
      <c r="R74" s="80">
        <v>29250</v>
      </c>
      <c r="S74" s="80">
        <v>30540</v>
      </c>
      <c r="T74" s="80">
        <v>31030</v>
      </c>
      <c r="U74" s="80">
        <v>32420</v>
      </c>
      <c r="V74" s="80">
        <v>33030</v>
      </c>
      <c r="W74" s="80">
        <v>33280</v>
      </c>
      <c r="X74" s="80">
        <v>32630</v>
      </c>
      <c r="Y74" s="80">
        <v>31530</v>
      </c>
      <c r="Z74" s="80">
        <v>31350</v>
      </c>
      <c r="AA74" s="80">
        <v>31940</v>
      </c>
      <c r="AB74" s="80">
        <v>32220</v>
      </c>
      <c r="AC74" s="80">
        <v>32810</v>
      </c>
      <c r="AD74" s="80">
        <v>32810</v>
      </c>
      <c r="AE74" s="80">
        <v>34130</v>
      </c>
      <c r="AF74" s="80">
        <v>33410</v>
      </c>
      <c r="AG74" s="80">
        <v>32480</v>
      </c>
      <c r="AH74" s="80">
        <v>31460</v>
      </c>
      <c r="AI74" s="80">
        <v>30350</v>
      </c>
      <c r="AJ74" s="80">
        <v>29020</v>
      </c>
      <c r="AK74" s="80">
        <v>29200</v>
      </c>
      <c r="AL74" s="80">
        <v>28850</v>
      </c>
      <c r="AM74" s="80">
        <v>29890</v>
      </c>
      <c r="AN74" s="80">
        <v>30020</v>
      </c>
      <c r="AO74" s="80">
        <v>30370</v>
      </c>
      <c r="AP74" s="80">
        <v>31310</v>
      </c>
      <c r="AQ74" s="80">
        <v>32000</v>
      </c>
      <c r="AR74" s="80">
        <v>32640</v>
      </c>
      <c r="AS74" s="80">
        <v>33690</v>
      </c>
      <c r="AT74" s="80">
        <v>34160</v>
      </c>
      <c r="AU74" s="80">
        <v>35230</v>
      </c>
      <c r="AV74" s="80">
        <v>37230</v>
      </c>
      <c r="AW74" s="80">
        <v>38060</v>
      </c>
      <c r="AX74" s="80">
        <v>40050</v>
      </c>
      <c r="AY74" s="80">
        <v>41480</v>
      </c>
      <c r="AZ74" s="80">
        <v>40910</v>
      </c>
      <c r="BA74" s="80">
        <v>40760</v>
      </c>
      <c r="BB74" s="80">
        <v>39670</v>
      </c>
      <c r="BC74" s="80">
        <v>39290</v>
      </c>
      <c r="BD74" s="80">
        <v>38350</v>
      </c>
      <c r="BE74" s="80">
        <v>37930</v>
      </c>
      <c r="BF74" s="80">
        <v>36710</v>
      </c>
      <c r="BG74" s="80">
        <v>35590</v>
      </c>
      <c r="BH74" s="80">
        <v>36210</v>
      </c>
      <c r="BI74" s="80">
        <v>35480</v>
      </c>
      <c r="BJ74" s="80">
        <v>34130</v>
      </c>
      <c r="BK74" s="80">
        <v>33810</v>
      </c>
      <c r="BL74" s="80">
        <v>34300</v>
      </c>
    </row>
    <row r="75" spans="1:64" x14ac:dyDescent="0.2">
      <c r="A75" s="28">
        <v>65</v>
      </c>
      <c r="B75" s="80">
        <v>18400</v>
      </c>
      <c r="C75" s="80">
        <v>18630</v>
      </c>
      <c r="D75" s="80">
        <v>16670</v>
      </c>
      <c r="E75" s="80">
        <v>18440</v>
      </c>
      <c r="F75" s="80">
        <v>19440</v>
      </c>
      <c r="G75" s="80">
        <v>20450</v>
      </c>
      <c r="H75" s="80">
        <v>24040</v>
      </c>
      <c r="I75" s="80">
        <v>24050</v>
      </c>
      <c r="J75" s="80">
        <v>23740</v>
      </c>
      <c r="K75" s="80">
        <v>24380</v>
      </c>
      <c r="L75" s="80">
        <v>24270</v>
      </c>
      <c r="M75" s="80">
        <v>24950</v>
      </c>
      <c r="N75" s="80">
        <v>25370</v>
      </c>
      <c r="O75" s="80">
        <v>26500</v>
      </c>
      <c r="P75" s="80">
        <v>27170</v>
      </c>
      <c r="Q75" s="80">
        <v>27930</v>
      </c>
      <c r="R75" s="80">
        <v>28750</v>
      </c>
      <c r="S75" s="80">
        <v>29150</v>
      </c>
      <c r="T75" s="80">
        <v>30440</v>
      </c>
      <c r="U75" s="80">
        <v>30930</v>
      </c>
      <c r="V75" s="80">
        <v>32310</v>
      </c>
      <c r="W75" s="80">
        <v>32920</v>
      </c>
      <c r="X75" s="80">
        <v>33180</v>
      </c>
      <c r="Y75" s="80">
        <v>32540</v>
      </c>
      <c r="Z75" s="80">
        <v>31450</v>
      </c>
      <c r="AA75" s="80">
        <v>31270</v>
      </c>
      <c r="AB75" s="80">
        <v>31860</v>
      </c>
      <c r="AC75" s="80">
        <v>32150</v>
      </c>
      <c r="AD75" s="80">
        <v>32740</v>
      </c>
      <c r="AE75" s="80">
        <v>32750</v>
      </c>
      <c r="AF75" s="80">
        <v>34060</v>
      </c>
      <c r="AG75" s="80">
        <v>33350</v>
      </c>
      <c r="AH75" s="80">
        <v>32430</v>
      </c>
      <c r="AI75" s="80">
        <v>31410</v>
      </c>
      <c r="AJ75" s="80">
        <v>30310</v>
      </c>
      <c r="AK75" s="80">
        <v>28980</v>
      </c>
      <c r="AL75" s="80">
        <v>29160</v>
      </c>
      <c r="AM75" s="80">
        <v>28820</v>
      </c>
      <c r="AN75" s="80">
        <v>29860</v>
      </c>
      <c r="AO75" s="80">
        <v>29990</v>
      </c>
      <c r="AP75" s="80">
        <v>30340</v>
      </c>
      <c r="AQ75" s="80">
        <v>31280</v>
      </c>
      <c r="AR75" s="80">
        <v>31980</v>
      </c>
      <c r="AS75" s="80">
        <v>32610</v>
      </c>
      <c r="AT75" s="80">
        <v>33670</v>
      </c>
      <c r="AU75" s="80">
        <v>34140</v>
      </c>
      <c r="AV75" s="80">
        <v>35210</v>
      </c>
      <c r="AW75" s="80">
        <v>37200</v>
      </c>
      <c r="AX75" s="80">
        <v>38040</v>
      </c>
      <c r="AY75" s="80">
        <v>40020</v>
      </c>
      <c r="AZ75" s="80">
        <v>41460</v>
      </c>
      <c r="BA75" s="80">
        <v>40890</v>
      </c>
      <c r="BB75" s="80">
        <v>40730</v>
      </c>
      <c r="BC75" s="80">
        <v>39650</v>
      </c>
      <c r="BD75" s="80">
        <v>39270</v>
      </c>
      <c r="BE75" s="80">
        <v>38340</v>
      </c>
      <c r="BF75" s="80">
        <v>37930</v>
      </c>
      <c r="BG75" s="80">
        <v>36710</v>
      </c>
      <c r="BH75" s="80">
        <v>35590</v>
      </c>
      <c r="BI75" s="80">
        <v>36210</v>
      </c>
      <c r="BJ75" s="80">
        <v>35480</v>
      </c>
      <c r="BK75" s="80">
        <v>34140</v>
      </c>
      <c r="BL75" s="80">
        <v>33810</v>
      </c>
    </row>
    <row r="76" spans="1:64" x14ac:dyDescent="0.2">
      <c r="A76" s="28">
        <v>66</v>
      </c>
      <c r="B76" s="80">
        <v>16900</v>
      </c>
      <c r="C76" s="80">
        <v>18240</v>
      </c>
      <c r="D76" s="80">
        <v>18470</v>
      </c>
      <c r="E76" s="80">
        <v>16570</v>
      </c>
      <c r="F76" s="80">
        <v>18340</v>
      </c>
      <c r="G76" s="80">
        <v>19330</v>
      </c>
      <c r="H76" s="80">
        <v>20350</v>
      </c>
      <c r="I76" s="80">
        <v>23940</v>
      </c>
      <c r="J76" s="80">
        <v>23970</v>
      </c>
      <c r="K76" s="80">
        <v>23670</v>
      </c>
      <c r="L76" s="80">
        <v>24270</v>
      </c>
      <c r="M76" s="80">
        <v>24200</v>
      </c>
      <c r="N76" s="80">
        <v>24870</v>
      </c>
      <c r="O76" s="80">
        <v>25280</v>
      </c>
      <c r="P76" s="80">
        <v>26400</v>
      </c>
      <c r="Q76" s="80">
        <v>27060</v>
      </c>
      <c r="R76" s="80">
        <v>27810</v>
      </c>
      <c r="S76" s="80">
        <v>28630</v>
      </c>
      <c r="T76" s="80">
        <v>29030</v>
      </c>
      <c r="U76" s="80">
        <v>30320</v>
      </c>
      <c r="V76" s="80">
        <v>30810</v>
      </c>
      <c r="W76" s="80">
        <v>32190</v>
      </c>
      <c r="X76" s="80">
        <v>32810</v>
      </c>
      <c r="Y76" s="80">
        <v>33070</v>
      </c>
      <c r="Z76" s="80">
        <v>32430</v>
      </c>
      <c r="AA76" s="80">
        <v>31350</v>
      </c>
      <c r="AB76" s="80">
        <v>31180</v>
      </c>
      <c r="AC76" s="80">
        <v>31770</v>
      </c>
      <c r="AD76" s="80">
        <v>32070</v>
      </c>
      <c r="AE76" s="80">
        <v>32650</v>
      </c>
      <c r="AF76" s="80">
        <v>32670</v>
      </c>
      <c r="AG76" s="80">
        <v>33980</v>
      </c>
      <c r="AH76" s="80">
        <v>33270</v>
      </c>
      <c r="AI76" s="80">
        <v>32360</v>
      </c>
      <c r="AJ76" s="80">
        <v>31350</v>
      </c>
      <c r="AK76" s="80">
        <v>30250</v>
      </c>
      <c r="AL76" s="80">
        <v>28930</v>
      </c>
      <c r="AM76" s="80">
        <v>29120</v>
      </c>
      <c r="AN76" s="80">
        <v>28780</v>
      </c>
      <c r="AO76" s="80">
        <v>29820</v>
      </c>
      <c r="AP76" s="80">
        <v>29950</v>
      </c>
      <c r="AQ76" s="80">
        <v>30300</v>
      </c>
      <c r="AR76" s="80">
        <v>31240</v>
      </c>
      <c r="AS76" s="80">
        <v>31940</v>
      </c>
      <c r="AT76" s="80">
        <v>32570</v>
      </c>
      <c r="AU76" s="80">
        <v>33630</v>
      </c>
      <c r="AV76" s="80">
        <v>34100</v>
      </c>
      <c r="AW76" s="80">
        <v>35170</v>
      </c>
      <c r="AX76" s="80">
        <v>37160</v>
      </c>
      <c r="AY76" s="80">
        <v>38000</v>
      </c>
      <c r="AZ76" s="80">
        <v>39980</v>
      </c>
      <c r="BA76" s="80">
        <v>41420</v>
      </c>
      <c r="BB76" s="80">
        <v>40850</v>
      </c>
      <c r="BC76" s="80">
        <v>40700</v>
      </c>
      <c r="BD76" s="80">
        <v>39630</v>
      </c>
      <c r="BE76" s="80">
        <v>39250</v>
      </c>
      <c r="BF76" s="80">
        <v>38320</v>
      </c>
      <c r="BG76" s="80">
        <v>37910</v>
      </c>
      <c r="BH76" s="80">
        <v>36690</v>
      </c>
      <c r="BI76" s="80">
        <v>35580</v>
      </c>
      <c r="BJ76" s="80">
        <v>36200</v>
      </c>
      <c r="BK76" s="80">
        <v>35470</v>
      </c>
      <c r="BL76" s="80">
        <v>34130</v>
      </c>
    </row>
    <row r="77" spans="1:64" x14ac:dyDescent="0.2">
      <c r="A77" s="28">
        <v>67</v>
      </c>
      <c r="B77" s="80">
        <v>15620</v>
      </c>
      <c r="C77" s="80">
        <v>16740</v>
      </c>
      <c r="D77" s="80">
        <v>18050</v>
      </c>
      <c r="E77" s="80">
        <v>18370</v>
      </c>
      <c r="F77" s="80">
        <v>16430</v>
      </c>
      <c r="G77" s="80">
        <v>18210</v>
      </c>
      <c r="H77" s="80">
        <v>19190</v>
      </c>
      <c r="I77" s="80">
        <v>20190</v>
      </c>
      <c r="J77" s="80">
        <v>23830</v>
      </c>
      <c r="K77" s="80">
        <v>23860</v>
      </c>
      <c r="L77" s="80">
        <v>23580</v>
      </c>
      <c r="M77" s="80">
        <v>24170</v>
      </c>
      <c r="N77" s="80">
        <v>24090</v>
      </c>
      <c r="O77" s="80">
        <v>24760</v>
      </c>
      <c r="P77" s="80">
        <v>25160</v>
      </c>
      <c r="Q77" s="80">
        <v>26270</v>
      </c>
      <c r="R77" s="80">
        <v>26920</v>
      </c>
      <c r="S77" s="80">
        <v>27670</v>
      </c>
      <c r="T77" s="80">
        <v>28490</v>
      </c>
      <c r="U77" s="80">
        <v>28890</v>
      </c>
      <c r="V77" s="80">
        <v>30180</v>
      </c>
      <c r="W77" s="80">
        <v>30670</v>
      </c>
      <c r="X77" s="80">
        <v>32050</v>
      </c>
      <c r="Y77" s="80">
        <v>32670</v>
      </c>
      <c r="Z77" s="80">
        <v>32930</v>
      </c>
      <c r="AA77" s="80">
        <v>32310</v>
      </c>
      <c r="AB77" s="80">
        <v>31240</v>
      </c>
      <c r="AC77" s="80">
        <v>31070</v>
      </c>
      <c r="AD77" s="80">
        <v>31660</v>
      </c>
      <c r="AE77" s="80">
        <v>31960</v>
      </c>
      <c r="AF77" s="80">
        <v>32550</v>
      </c>
      <c r="AG77" s="80">
        <v>32570</v>
      </c>
      <c r="AH77" s="80">
        <v>33880</v>
      </c>
      <c r="AI77" s="80">
        <v>33180</v>
      </c>
      <c r="AJ77" s="80">
        <v>32280</v>
      </c>
      <c r="AK77" s="80">
        <v>31270</v>
      </c>
      <c r="AL77" s="80">
        <v>30180</v>
      </c>
      <c r="AM77" s="80">
        <v>28870</v>
      </c>
      <c r="AN77" s="80">
        <v>29050</v>
      </c>
      <c r="AO77" s="80">
        <v>28720</v>
      </c>
      <c r="AP77" s="80">
        <v>29760</v>
      </c>
      <c r="AQ77" s="80">
        <v>29900</v>
      </c>
      <c r="AR77" s="80">
        <v>30250</v>
      </c>
      <c r="AS77" s="80">
        <v>31190</v>
      </c>
      <c r="AT77" s="80">
        <v>31890</v>
      </c>
      <c r="AU77" s="80">
        <v>32520</v>
      </c>
      <c r="AV77" s="80">
        <v>33580</v>
      </c>
      <c r="AW77" s="80">
        <v>34050</v>
      </c>
      <c r="AX77" s="80">
        <v>35120</v>
      </c>
      <c r="AY77" s="80">
        <v>37110</v>
      </c>
      <c r="AZ77" s="80">
        <v>37950</v>
      </c>
      <c r="BA77" s="80">
        <v>39930</v>
      </c>
      <c r="BB77" s="80">
        <v>41370</v>
      </c>
      <c r="BC77" s="80">
        <v>40810</v>
      </c>
      <c r="BD77" s="80">
        <v>40660</v>
      </c>
      <c r="BE77" s="80">
        <v>39580</v>
      </c>
      <c r="BF77" s="80">
        <v>39210</v>
      </c>
      <c r="BG77" s="80">
        <v>38280</v>
      </c>
      <c r="BH77" s="80">
        <v>37870</v>
      </c>
      <c r="BI77" s="80">
        <v>36670</v>
      </c>
      <c r="BJ77" s="80">
        <v>35550</v>
      </c>
      <c r="BK77" s="80">
        <v>36180</v>
      </c>
      <c r="BL77" s="80">
        <v>35450</v>
      </c>
    </row>
    <row r="78" spans="1:64" x14ac:dyDescent="0.2">
      <c r="A78" s="28">
        <v>68</v>
      </c>
      <c r="B78" s="80">
        <v>14760</v>
      </c>
      <c r="C78" s="80">
        <v>15410</v>
      </c>
      <c r="D78" s="80">
        <v>16570</v>
      </c>
      <c r="E78" s="80">
        <v>17860</v>
      </c>
      <c r="F78" s="80">
        <v>18190</v>
      </c>
      <c r="G78" s="80">
        <v>16290</v>
      </c>
      <c r="H78" s="80">
        <v>18050</v>
      </c>
      <c r="I78" s="80">
        <v>19110</v>
      </c>
      <c r="J78" s="80">
        <v>20080</v>
      </c>
      <c r="K78" s="80">
        <v>23670</v>
      </c>
      <c r="L78" s="80">
        <v>23700</v>
      </c>
      <c r="M78" s="80">
        <v>23450</v>
      </c>
      <c r="N78" s="80">
        <v>24040</v>
      </c>
      <c r="O78" s="80">
        <v>23960</v>
      </c>
      <c r="P78" s="80">
        <v>24610</v>
      </c>
      <c r="Q78" s="80">
        <v>25010</v>
      </c>
      <c r="R78" s="80">
        <v>26110</v>
      </c>
      <c r="S78" s="80">
        <v>26760</v>
      </c>
      <c r="T78" s="80">
        <v>27510</v>
      </c>
      <c r="U78" s="80">
        <v>28330</v>
      </c>
      <c r="V78" s="80">
        <v>28740</v>
      </c>
      <c r="W78" s="80">
        <v>30020</v>
      </c>
      <c r="X78" s="80">
        <v>30520</v>
      </c>
      <c r="Y78" s="80">
        <v>31900</v>
      </c>
      <c r="Z78" s="80">
        <v>32520</v>
      </c>
      <c r="AA78" s="80">
        <v>32780</v>
      </c>
      <c r="AB78" s="80">
        <v>32160</v>
      </c>
      <c r="AC78" s="80">
        <v>31100</v>
      </c>
      <c r="AD78" s="80">
        <v>30950</v>
      </c>
      <c r="AE78" s="80">
        <v>31540</v>
      </c>
      <c r="AF78" s="80">
        <v>31840</v>
      </c>
      <c r="AG78" s="80">
        <v>32430</v>
      </c>
      <c r="AH78" s="80">
        <v>32450</v>
      </c>
      <c r="AI78" s="80">
        <v>33770</v>
      </c>
      <c r="AJ78" s="80">
        <v>33070</v>
      </c>
      <c r="AK78" s="80">
        <v>32170</v>
      </c>
      <c r="AL78" s="80">
        <v>31180</v>
      </c>
      <c r="AM78" s="80">
        <v>30100</v>
      </c>
      <c r="AN78" s="80">
        <v>28790</v>
      </c>
      <c r="AO78" s="80">
        <v>28980</v>
      </c>
      <c r="AP78" s="80">
        <v>28650</v>
      </c>
      <c r="AQ78" s="80">
        <v>29690</v>
      </c>
      <c r="AR78" s="80">
        <v>29830</v>
      </c>
      <c r="AS78" s="80">
        <v>30180</v>
      </c>
      <c r="AT78" s="80">
        <v>31120</v>
      </c>
      <c r="AU78" s="80">
        <v>31820</v>
      </c>
      <c r="AV78" s="80">
        <v>32460</v>
      </c>
      <c r="AW78" s="80">
        <v>33510</v>
      </c>
      <c r="AX78" s="80">
        <v>33990</v>
      </c>
      <c r="AY78" s="80">
        <v>35060</v>
      </c>
      <c r="AZ78" s="80">
        <v>37050</v>
      </c>
      <c r="BA78" s="80">
        <v>37880</v>
      </c>
      <c r="BB78" s="80">
        <v>39860</v>
      </c>
      <c r="BC78" s="80">
        <v>41300</v>
      </c>
      <c r="BD78" s="80">
        <v>40740</v>
      </c>
      <c r="BE78" s="80">
        <v>40600</v>
      </c>
      <c r="BF78" s="80">
        <v>39530</v>
      </c>
      <c r="BG78" s="80">
        <v>39160</v>
      </c>
      <c r="BH78" s="80">
        <v>38240</v>
      </c>
      <c r="BI78" s="80">
        <v>37830</v>
      </c>
      <c r="BJ78" s="80">
        <v>36620</v>
      </c>
      <c r="BK78" s="80">
        <v>35510</v>
      </c>
      <c r="BL78" s="80">
        <v>36140</v>
      </c>
    </row>
    <row r="79" spans="1:64" x14ac:dyDescent="0.2">
      <c r="A79" s="28">
        <v>69</v>
      </c>
      <c r="B79" s="80">
        <v>14230</v>
      </c>
      <c r="C79" s="80">
        <v>14600</v>
      </c>
      <c r="D79" s="80">
        <v>15220</v>
      </c>
      <c r="E79" s="80">
        <v>16380</v>
      </c>
      <c r="F79" s="80">
        <v>17680</v>
      </c>
      <c r="G79" s="80">
        <v>18000</v>
      </c>
      <c r="H79" s="80">
        <v>16110</v>
      </c>
      <c r="I79" s="80">
        <v>17900</v>
      </c>
      <c r="J79" s="80">
        <v>18970</v>
      </c>
      <c r="K79" s="80">
        <v>19940</v>
      </c>
      <c r="L79" s="80">
        <v>23520</v>
      </c>
      <c r="M79" s="80">
        <v>23540</v>
      </c>
      <c r="N79" s="80">
        <v>23300</v>
      </c>
      <c r="O79" s="80">
        <v>23870</v>
      </c>
      <c r="P79" s="80">
        <v>23790</v>
      </c>
      <c r="Q79" s="80">
        <v>24440</v>
      </c>
      <c r="R79" s="80">
        <v>24840</v>
      </c>
      <c r="S79" s="80">
        <v>25930</v>
      </c>
      <c r="T79" s="80">
        <v>26580</v>
      </c>
      <c r="U79" s="80">
        <v>27330</v>
      </c>
      <c r="V79" s="80">
        <v>28150</v>
      </c>
      <c r="W79" s="80">
        <v>28570</v>
      </c>
      <c r="X79" s="80">
        <v>29850</v>
      </c>
      <c r="Y79" s="80">
        <v>30350</v>
      </c>
      <c r="Z79" s="80">
        <v>31720</v>
      </c>
      <c r="AA79" s="80">
        <v>32350</v>
      </c>
      <c r="AB79" s="80">
        <v>32620</v>
      </c>
      <c r="AC79" s="80">
        <v>32010</v>
      </c>
      <c r="AD79" s="80">
        <v>30960</v>
      </c>
      <c r="AE79" s="80">
        <v>30810</v>
      </c>
      <c r="AF79" s="80">
        <v>31400</v>
      </c>
      <c r="AG79" s="80">
        <v>31710</v>
      </c>
      <c r="AH79" s="80">
        <v>32300</v>
      </c>
      <c r="AI79" s="80">
        <v>32320</v>
      </c>
      <c r="AJ79" s="80">
        <v>33640</v>
      </c>
      <c r="AK79" s="80">
        <v>32950</v>
      </c>
      <c r="AL79" s="80">
        <v>32060</v>
      </c>
      <c r="AM79" s="80">
        <v>31080</v>
      </c>
      <c r="AN79" s="80">
        <v>30000</v>
      </c>
      <c r="AO79" s="80">
        <v>28700</v>
      </c>
      <c r="AP79" s="80">
        <v>28890</v>
      </c>
      <c r="AQ79" s="80">
        <v>28570</v>
      </c>
      <c r="AR79" s="80">
        <v>29610</v>
      </c>
      <c r="AS79" s="80">
        <v>29750</v>
      </c>
      <c r="AT79" s="80">
        <v>30110</v>
      </c>
      <c r="AU79" s="80">
        <v>31050</v>
      </c>
      <c r="AV79" s="80">
        <v>31740</v>
      </c>
      <c r="AW79" s="80">
        <v>32380</v>
      </c>
      <c r="AX79" s="80">
        <v>33440</v>
      </c>
      <c r="AY79" s="80">
        <v>33910</v>
      </c>
      <c r="AZ79" s="80">
        <v>34990</v>
      </c>
      <c r="BA79" s="80">
        <v>36970</v>
      </c>
      <c r="BB79" s="80">
        <v>37810</v>
      </c>
      <c r="BC79" s="80">
        <v>39790</v>
      </c>
      <c r="BD79" s="80">
        <v>41220</v>
      </c>
      <c r="BE79" s="80">
        <v>40670</v>
      </c>
      <c r="BF79" s="80">
        <v>40530</v>
      </c>
      <c r="BG79" s="80">
        <v>39460</v>
      </c>
      <c r="BH79" s="80">
        <v>39090</v>
      </c>
      <c r="BI79" s="80">
        <v>38180</v>
      </c>
      <c r="BJ79" s="80">
        <v>37780</v>
      </c>
      <c r="BK79" s="80">
        <v>36580</v>
      </c>
      <c r="BL79" s="80">
        <v>35470</v>
      </c>
    </row>
    <row r="80" spans="1:64" x14ac:dyDescent="0.2">
      <c r="A80" s="28">
        <v>70</v>
      </c>
      <c r="B80" s="80">
        <v>13460</v>
      </c>
      <c r="C80" s="80">
        <v>13990</v>
      </c>
      <c r="D80" s="80">
        <v>14400</v>
      </c>
      <c r="E80" s="80">
        <v>15000</v>
      </c>
      <c r="F80" s="80">
        <v>16170</v>
      </c>
      <c r="G80" s="80">
        <v>17450</v>
      </c>
      <c r="H80" s="80">
        <v>17790</v>
      </c>
      <c r="I80" s="80">
        <v>15930</v>
      </c>
      <c r="J80" s="80">
        <v>17750</v>
      </c>
      <c r="K80" s="80">
        <v>18830</v>
      </c>
      <c r="L80" s="80">
        <v>19770</v>
      </c>
      <c r="M80" s="80">
        <v>23340</v>
      </c>
      <c r="N80" s="80">
        <v>23360</v>
      </c>
      <c r="O80" s="80">
        <v>23120</v>
      </c>
      <c r="P80" s="80">
        <v>23690</v>
      </c>
      <c r="Q80" s="80">
        <v>23610</v>
      </c>
      <c r="R80" s="80">
        <v>24250</v>
      </c>
      <c r="S80" s="80">
        <v>24650</v>
      </c>
      <c r="T80" s="80">
        <v>25740</v>
      </c>
      <c r="U80" s="80">
        <v>26390</v>
      </c>
      <c r="V80" s="80">
        <v>27140</v>
      </c>
      <c r="W80" s="80">
        <v>27960</v>
      </c>
      <c r="X80" s="80">
        <v>28380</v>
      </c>
      <c r="Y80" s="80">
        <v>29660</v>
      </c>
      <c r="Z80" s="80">
        <v>30160</v>
      </c>
      <c r="AA80" s="80">
        <v>31530</v>
      </c>
      <c r="AB80" s="80">
        <v>32160</v>
      </c>
      <c r="AC80" s="80">
        <v>32430</v>
      </c>
      <c r="AD80" s="80">
        <v>31830</v>
      </c>
      <c r="AE80" s="80">
        <v>30800</v>
      </c>
      <c r="AF80" s="80">
        <v>30650</v>
      </c>
      <c r="AG80" s="80">
        <v>31250</v>
      </c>
      <c r="AH80" s="80">
        <v>31560</v>
      </c>
      <c r="AI80" s="80">
        <v>32150</v>
      </c>
      <c r="AJ80" s="80">
        <v>32180</v>
      </c>
      <c r="AK80" s="80">
        <v>33490</v>
      </c>
      <c r="AL80" s="80">
        <v>32810</v>
      </c>
      <c r="AM80" s="80">
        <v>31930</v>
      </c>
      <c r="AN80" s="80">
        <v>30960</v>
      </c>
      <c r="AO80" s="80">
        <v>29890</v>
      </c>
      <c r="AP80" s="80">
        <v>28600</v>
      </c>
      <c r="AQ80" s="80">
        <v>28800</v>
      </c>
      <c r="AR80" s="80">
        <v>28470</v>
      </c>
      <c r="AS80" s="80">
        <v>29510</v>
      </c>
      <c r="AT80" s="80">
        <v>29660</v>
      </c>
      <c r="AU80" s="80">
        <v>30020</v>
      </c>
      <c r="AV80" s="80">
        <v>30960</v>
      </c>
      <c r="AW80" s="80">
        <v>31660</v>
      </c>
      <c r="AX80" s="80">
        <v>32300</v>
      </c>
      <c r="AY80" s="80">
        <v>33350</v>
      </c>
      <c r="AZ80" s="80">
        <v>33830</v>
      </c>
      <c r="BA80" s="80">
        <v>34900</v>
      </c>
      <c r="BB80" s="80">
        <v>36880</v>
      </c>
      <c r="BC80" s="80">
        <v>37720</v>
      </c>
      <c r="BD80" s="80">
        <v>39700</v>
      </c>
      <c r="BE80" s="80">
        <v>41130</v>
      </c>
      <c r="BF80" s="80">
        <v>40580</v>
      </c>
      <c r="BG80" s="80">
        <v>40440</v>
      </c>
      <c r="BH80" s="80">
        <v>39390</v>
      </c>
      <c r="BI80" s="80">
        <v>39020</v>
      </c>
      <c r="BJ80" s="80">
        <v>38110</v>
      </c>
      <c r="BK80" s="80">
        <v>37710</v>
      </c>
      <c r="BL80" s="80">
        <v>36520</v>
      </c>
    </row>
    <row r="81" spans="1:64" x14ac:dyDescent="0.2">
      <c r="A81" s="28">
        <v>71</v>
      </c>
      <c r="B81" s="80">
        <v>12650</v>
      </c>
      <c r="C81" s="80">
        <v>13250</v>
      </c>
      <c r="D81" s="80">
        <v>13770</v>
      </c>
      <c r="E81" s="80">
        <v>14190</v>
      </c>
      <c r="F81" s="80">
        <v>14780</v>
      </c>
      <c r="G81" s="80">
        <v>15900</v>
      </c>
      <c r="H81" s="80">
        <v>17210</v>
      </c>
      <c r="I81" s="80">
        <v>17570</v>
      </c>
      <c r="J81" s="80">
        <v>15760</v>
      </c>
      <c r="K81" s="80">
        <v>17580</v>
      </c>
      <c r="L81" s="80">
        <v>18650</v>
      </c>
      <c r="M81" s="80">
        <v>19590</v>
      </c>
      <c r="N81" s="80">
        <v>23120</v>
      </c>
      <c r="O81" s="80">
        <v>23150</v>
      </c>
      <c r="P81" s="80">
        <v>22910</v>
      </c>
      <c r="Q81" s="80">
        <v>23470</v>
      </c>
      <c r="R81" s="80">
        <v>23390</v>
      </c>
      <c r="S81" s="80">
        <v>24040</v>
      </c>
      <c r="T81" s="80">
        <v>24440</v>
      </c>
      <c r="U81" s="80">
        <v>25530</v>
      </c>
      <c r="V81" s="80">
        <v>26180</v>
      </c>
      <c r="W81" s="80">
        <v>26930</v>
      </c>
      <c r="X81" s="80">
        <v>27750</v>
      </c>
      <c r="Y81" s="80">
        <v>28170</v>
      </c>
      <c r="Z81" s="80">
        <v>29450</v>
      </c>
      <c r="AA81" s="80">
        <v>29950</v>
      </c>
      <c r="AB81" s="80">
        <v>31330</v>
      </c>
      <c r="AC81" s="80">
        <v>31950</v>
      </c>
      <c r="AD81" s="80">
        <v>32230</v>
      </c>
      <c r="AE81" s="80">
        <v>31640</v>
      </c>
      <c r="AF81" s="80">
        <v>30620</v>
      </c>
      <c r="AG81" s="80">
        <v>30480</v>
      </c>
      <c r="AH81" s="80">
        <v>31080</v>
      </c>
      <c r="AI81" s="80">
        <v>31390</v>
      </c>
      <c r="AJ81" s="80">
        <v>31990</v>
      </c>
      <c r="AK81" s="80">
        <v>32020</v>
      </c>
      <c r="AL81" s="80">
        <v>33330</v>
      </c>
      <c r="AM81" s="80">
        <v>32660</v>
      </c>
      <c r="AN81" s="80">
        <v>31790</v>
      </c>
      <c r="AO81" s="80">
        <v>30820</v>
      </c>
      <c r="AP81" s="80">
        <v>29760</v>
      </c>
      <c r="AQ81" s="80">
        <v>28490</v>
      </c>
      <c r="AR81" s="80">
        <v>28680</v>
      </c>
      <c r="AS81" s="80">
        <v>28370</v>
      </c>
      <c r="AT81" s="80">
        <v>29400</v>
      </c>
      <c r="AU81" s="80">
        <v>29560</v>
      </c>
      <c r="AV81" s="80">
        <v>29920</v>
      </c>
      <c r="AW81" s="80">
        <v>30850</v>
      </c>
      <c r="AX81" s="80">
        <v>31560</v>
      </c>
      <c r="AY81" s="80">
        <v>32200</v>
      </c>
      <c r="AZ81" s="80">
        <v>33250</v>
      </c>
      <c r="BA81" s="80">
        <v>33730</v>
      </c>
      <c r="BB81" s="80">
        <v>34800</v>
      </c>
      <c r="BC81" s="80">
        <v>36780</v>
      </c>
      <c r="BD81" s="80">
        <v>37620</v>
      </c>
      <c r="BE81" s="80">
        <v>39590</v>
      </c>
      <c r="BF81" s="80">
        <v>41030</v>
      </c>
      <c r="BG81" s="80">
        <v>40490</v>
      </c>
      <c r="BH81" s="80">
        <v>40350</v>
      </c>
      <c r="BI81" s="80">
        <v>39300</v>
      </c>
      <c r="BJ81" s="80">
        <v>38940</v>
      </c>
      <c r="BK81" s="80">
        <v>38030</v>
      </c>
      <c r="BL81" s="80">
        <v>37640</v>
      </c>
    </row>
    <row r="82" spans="1:64" x14ac:dyDescent="0.2">
      <c r="A82" s="28">
        <v>72</v>
      </c>
      <c r="B82" s="80">
        <v>12410</v>
      </c>
      <c r="C82" s="80">
        <v>12440</v>
      </c>
      <c r="D82" s="80">
        <v>13040</v>
      </c>
      <c r="E82" s="80">
        <v>13540</v>
      </c>
      <c r="F82" s="80">
        <v>14000</v>
      </c>
      <c r="G82" s="80">
        <v>14570</v>
      </c>
      <c r="H82" s="80">
        <v>15680</v>
      </c>
      <c r="I82" s="80">
        <v>16960</v>
      </c>
      <c r="J82" s="80">
        <v>17350</v>
      </c>
      <c r="K82" s="80">
        <v>15600</v>
      </c>
      <c r="L82" s="80">
        <v>17360</v>
      </c>
      <c r="M82" s="80">
        <v>18460</v>
      </c>
      <c r="N82" s="80">
        <v>19390</v>
      </c>
      <c r="O82" s="80">
        <v>22880</v>
      </c>
      <c r="P82" s="80">
        <v>22900</v>
      </c>
      <c r="Q82" s="80">
        <v>22670</v>
      </c>
      <c r="R82" s="80">
        <v>23230</v>
      </c>
      <c r="S82" s="80">
        <v>23160</v>
      </c>
      <c r="T82" s="80">
        <v>23810</v>
      </c>
      <c r="U82" s="80">
        <v>24210</v>
      </c>
      <c r="V82" s="80">
        <v>25300</v>
      </c>
      <c r="W82" s="80">
        <v>25950</v>
      </c>
      <c r="X82" s="80">
        <v>26700</v>
      </c>
      <c r="Y82" s="80">
        <v>27520</v>
      </c>
      <c r="Z82" s="80">
        <v>27950</v>
      </c>
      <c r="AA82" s="80">
        <v>29220</v>
      </c>
      <c r="AB82" s="80">
        <v>29730</v>
      </c>
      <c r="AC82" s="80">
        <v>31100</v>
      </c>
      <c r="AD82" s="80">
        <v>31720</v>
      </c>
      <c r="AE82" s="80">
        <v>32010</v>
      </c>
      <c r="AF82" s="80">
        <v>31430</v>
      </c>
      <c r="AG82" s="80">
        <v>30420</v>
      </c>
      <c r="AH82" s="80">
        <v>30290</v>
      </c>
      <c r="AI82" s="80">
        <v>30890</v>
      </c>
      <c r="AJ82" s="80">
        <v>31210</v>
      </c>
      <c r="AK82" s="80">
        <v>31810</v>
      </c>
      <c r="AL82" s="80">
        <v>31850</v>
      </c>
      <c r="AM82" s="80">
        <v>33150</v>
      </c>
      <c r="AN82" s="80">
        <v>32490</v>
      </c>
      <c r="AO82" s="80">
        <v>31630</v>
      </c>
      <c r="AP82" s="80">
        <v>30670</v>
      </c>
      <c r="AQ82" s="80">
        <v>29630</v>
      </c>
      <c r="AR82" s="80">
        <v>28360</v>
      </c>
      <c r="AS82" s="80">
        <v>28560</v>
      </c>
      <c r="AT82" s="80">
        <v>28250</v>
      </c>
      <c r="AU82" s="80">
        <v>29280</v>
      </c>
      <c r="AV82" s="80">
        <v>29440</v>
      </c>
      <c r="AW82" s="80">
        <v>29800</v>
      </c>
      <c r="AX82" s="80">
        <v>30740</v>
      </c>
      <c r="AY82" s="80">
        <v>31440</v>
      </c>
      <c r="AZ82" s="80">
        <v>32080</v>
      </c>
      <c r="BA82" s="80">
        <v>33140</v>
      </c>
      <c r="BB82" s="80">
        <v>33620</v>
      </c>
      <c r="BC82" s="80">
        <v>34690</v>
      </c>
      <c r="BD82" s="80">
        <v>36670</v>
      </c>
      <c r="BE82" s="80">
        <v>37510</v>
      </c>
      <c r="BF82" s="80">
        <v>39480</v>
      </c>
      <c r="BG82" s="80">
        <v>40910</v>
      </c>
      <c r="BH82" s="80">
        <v>40370</v>
      </c>
      <c r="BI82" s="80">
        <v>40240</v>
      </c>
      <c r="BJ82" s="80">
        <v>39200</v>
      </c>
      <c r="BK82" s="80">
        <v>38840</v>
      </c>
      <c r="BL82" s="80">
        <v>37940</v>
      </c>
    </row>
    <row r="83" spans="1:64" x14ac:dyDescent="0.2">
      <c r="A83" s="28">
        <v>73</v>
      </c>
      <c r="B83" s="80">
        <v>12300</v>
      </c>
      <c r="C83" s="80">
        <v>12150</v>
      </c>
      <c r="D83" s="80">
        <v>12180</v>
      </c>
      <c r="E83" s="80">
        <v>12780</v>
      </c>
      <c r="F83" s="80">
        <v>13280</v>
      </c>
      <c r="G83" s="80">
        <v>13760</v>
      </c>
      <c r="H83" s="80">
        <v>14350</v>
      </c>
      <c r="I83" s="80">
        <v>15490</v>
      </c>
      <c r="J83" s="80">
        <v>16750</v>
      </c>
      <c r="K83" s="80">
        <v>17120</v>
      </c>
      <c r="L83" s="80">
        <v>15410</v>
      </c>
      <c r="M83" s="80">
        <v>17150</v>
      </c>
      <c r="N83" s="80">
        <v>18230</v>
      </c>
      <c r="O83" s="80">
        <v>19160</v>
      </c>
      <c r="P83" s="80">
        <v>22610</v>
      </c>
      <c r="Q83" s="80">
        <v>22640</v>
      </c>
      <c r="R83" s="80">
        <v>22410</v>
      </c>
      <c r="S83" s="80">
        <v>22970</v>
      </c>
      <c r="T83" s="80">
        <v>22910</v>
      </c>
      <c r="U83" s="80">
        <v>23560</v>
      </c>
      <c r="V83" s="80">
        <v>23960</v>
      </c>
      <c r="W83" s="80">
        <v>25050</v>
      </c>
      <c r="X83" s="80">
        <v>25700</v>
      </c>
      <c r="Y83" s="80">
        <v>26450</v>
      </c>
      <c r="Z83" s="80">
        <v>27280</v>
      </c>
      <c r="AA83" s="80">
        <v>27700</v>
      </c>
      <c r="AB83" s="80">
        <v>28970</v>
      </c>
      <c r="AC83" s="80">
        <v>29480</v>
      </c>
      <c r="AD83" s="80">
        <v>30850</v>
      </c>
      <c r="AE83" s="80">
        <v>31480</v>
      </c>
      <c r="AF83" s="80">
        <v>31770</v>
      </c>
      <c r="AG83" s="80">
        <v>31200</v>
      </c>
      <c r="AH83" s="80">
        <v>30210</v>
      </c>
      <c r="AI83" s="80">
        <v>30080</v>
      </c>
      <c r="AJ83" s="80">
        <v>30690</v>
      </c>
      <c r="AK83" s="80">
        <v>31000</v>
      </c>
      <c r="AL83" s="80">
        <v>31610</v>
      </c>
      <c r="AM83" s="80">
        <v>31650</v>
      </c>
      <c r="AN83" s="80">
        <v>32960</v>
      </c>
      <c r="AO83" s="80">
        <v>32310</v>
      </c>
      <c r="AP83" s="80">
        <v>31460</v>
      </c>
      <c r="AQ83" s="80">
        <v>30510</v>
      </c>
      <c r="AR83" s="80">
        <v>29470</v>
      </c>
      <c r="AS83" s="80">
        <v>28220</v>
      </c>
      <c r="AT83" s="80">
        <v>28420</v>
      </c>
      <c r="AU83" s="80">
        <v>28110</v>
      </c>
      <c r="AV83" s="80">
        <v>29150</v>
      </c>
      <c r="AW83" s="80">
        <v>29310</v>
      </c>
      <c r="AX83" s="80">
        <v>29670</v>
      </c>
      <c r="AY83" s="80">
        <v>30610</v>
      </c>
      <c r="AZ83" s="80">
        <v>31310</v>
      </c>
      <c r="BA83" s="80">
        <v>31960</v>
      </c>
      <c r="BB83" s="80">
        <v>33010</v>
      </c>
      <c r="BC83" s="80">
        <v>33490</v>
      </c>
      <c r="BD83" s="80">
        <v>34570</v>
      </c>
      <c r="BE83" s="80">
        <v>36540</v>
      </c>
      <c r="BF83" s="80">
        <v>37380</v>
      </c>
      <c r="BG83" s="80">
        <v>39350</v>
      </c>
      <c r="BH83" s="80">
        <v>40780</v>
      </c>
      <c r="BI83" s="80">
        <v>40250</v>
      </c>
      <c r="BJ83" s="80">
        <v>40120</v>
      </c>
      <c r="BK83" s="80">
        <v>39080</v>
      </c>
      <c r="BL83" s="80">
        <v>38730</v>
      </c>
    </row>
    <row r="84" spans="1:64" x14ac:dyDescent="0.2">
      <c r="A84" s="28">
        <v>74</v>
      </c>
      <c r="B84" s="80">
        <v>11960</v>
      </c>
      <c r="C84" s="80">
        <v>12030</v>
      </c>
      <c r="D84" s="80">
        <v>11880</v>
      </c>
      <c r="E84" s="80">
        <v>11930</v>
      </c>
      <c r="F84" s="80">
        <v>12500</v>
      </c>
      <c r="G84" s="80">
        <v>13050</v>
      </c>
      <c r="H84" s="80">
        <v>13510</v>
      </c>
      <c r="I84" s="80">
        <v>14060</v>
      </c>
      <c r="J84" s="80">
        <v>15280</v>
      </c>
      <c r="K84" s="80">
        <v>16490</v>
      </c>
      <c r="L84" s="80">
        <v>16850</v>
      </c>
      <c r="M84" s="80">
        <v>15190</v>
      </c>
      <c r="N84" s="80">
        <v>16920</v>
      </c>
      <c r="O84" s="80">
        <v>17990</v>
      </c>
      <c r="P84" s="80">
        <v>18900</v>
      </c>
      <c r="Q84" s="80">
        <v>22310</v>
      </c>
      <c r="R84" s="80">
        <v>22340</v>
      </c>
      <c r="S84" s="80">
        <v>22130</v>
      </c>
      <c r="T84" s="80">
        <v>22690</v>
      </c>
      <c r="U84" s="80">
        <v>22640</v>
      </c>
      <c r="V84" s="80">
        <v>23290</v>
      </c>
      <c r="W84" s="80">
        <v>23700</v>
      </c>
      <c r="X84" s="80">
        <v>24770</v>
      </c>
      <c r="Y84" s="80">
        <v>25430</v>
      </c>
      <c r="Z84" s="80">
        <v>26190</v>
      </c>
      <c r="AA84" s="80">
        <v>27010</v>
      </c>
      <c r="AB84" s="80">
        <v>27440</v>
      </c>
      <c r="AC84" s="80">
        <v>28700</v>
      </c>
      <c r="AD84" s="80">
        <v>29220</v>
      </c>
      <c r="AE84" s="80">
        <v>30580</v>
      </c>
      <c r="AF84" s="80">
        <v>31210</v>
      </c>
      <c r="AG84" s="80">
        <v>31510</v>
      </c>
      <c r="AH84" s="80">
        <v>30950</v>
      </c>
      <c r="AI84" s="80">
        <v>29970</v>
      </c>
      <c r="AJ84" s="80">
        <v>29850</v>
      </c>
      <c r="AK84" s="80">
        <v>30460</v>
      </c>
      <c r="AL84" s="80">
        <v>30780</v>
      </c>
      <c r="AM84" s="80">
        <v>31390</v>
      </c>
      <c r="AN84" s="80">
        <v>31440</v>
      </c>
      <c r="AO84" s="80">
        <v>32740</v>
      </c>
      <c r="AP84" s="80">
        <v>32100</v>
      </c>
      <c r="AQ84" s="80">
        <v>31260</v>
      </c>
      <c r="AR84" s="80">
        <v>30330</v>
      </c>
      <c r="AS84" s="80">
        <v>29300</v>
      </c>
      <c r="AT84" s="80">
        <v>28060</v>
      </c>
      <c r="AU84" s="80">
        <v>28270</v>
      </c>
      <c r="AV84" s="80">
        <v>27970</v>
      </c>
      <c r="AW84" s="80">
        <v>29000</v>
      </c>
      <c r="AX84" s="80">
        <v>29160</v>
      </c>
      <c r="AY84" s="80">
        <v>29530</v>
      </c>
      <c r="AZ84" s="80">
        <v>30470</v>
      </c>
      <c r="BA84" s="80">
        <v>31170</v>
      </c>
      <c r="BB84" s="80">
        <v>31820</v>
      </c>
      <c r="BC84" s="80">
        <v>32870</v>
      </c>
      <c r="BD84" s="80">
        <v>33360</v>
      </c>
      <c r="BE84" s="80">
        <v>34430</v>
      </c>
      <c r="BF84" s="80">
        <v>36390</v>
      </c>
      <c r="BG84" s="80">
        <v>37240</v>
      </c>
      <c r="BH84" s="80">
        <v>39200</v>
      </c>
      <c r="BI84" s="80">
        <v>40630</v>
      </c>
      <c r="BJ84" s="80">
        <v>40110</v>
      </c>
      <c r="BK84" s="80">
        <v>39980</v>
      </c>
      <c r="BL84" s="80">
        <v>38960</v>
      </c>
    </row>
    <row r="85" spans="1:64" x14ac:dyDescent="0.2">
      <c r="A85" s="28">
        <v>75</v>
      </c>
      <c r="B85" s="80">
        <v>12130</v>
      </c>
      <c r="C85" s="80">
        <v>11650</v>
      </c>
      <c r="D85" s="80">
        <v>11720</v>
      </c>
      <c r="E85" s="80">
        <v>11580</v>
      </c>
      <c r="F85" s="80">
        <v>11660</v>
      </c>
      <c r="G85" s="80">
        <v>12210</v>
      </c>
      <c r="H85" s="80">
        <v>12750</v>
      </c>
      <c r="I85" s="80">
        <v>13220</v>
      </c>
      <c r="J85" s="80">
        <v>13820</v>
      </c>
      <c r="K85" s="80">
        <v>15040</v>
      </c>
      <c r="L85" s="80">
        <v>16240</v>
      </c>
      <c r="M85" s="80">
        <v>16590</v>
      </c>
      <c r="N85" s="80">
        <v>14960</v>
      </c>
      <c r="O85" s="80">
        <v>16660</v>
      </c>
      <c r="P85" s="80">
        <v>17720</v>
      </c>
      <c r="Q85" s="80">
        <v>18620</v>
      </c>
      <c r="R85" s="80">
        <v>21990</v>
      </c>
      <c r="S85" s="80">
        <v>22030</v>
      </c>
      <c r="T85" s="80">
        <v>21830</v>
      </c>
      <c r="U85" s="80">
        <v>22390</v>
      </c>
      <c r="V85" s="80">
        <v>22350</v>
      </c>
      <c r="W85" s="80">
        <v>23000</v>
      </c>
      <c r="X85" s="80">
        <v>23410</v>
      </c>
      <c r="Y85" s="80">
        <v>24480</v>
      </c>
      <c r="Z85" s="80">
        <v>25140</v>
      </c>
      <c r="AA85" s="80">
        <v>25890</v>
      </c>
      <c r="AB85" s="80">
        <v>26710</v>
      </c>
      <c r="AC85" s="80">
        <v>27150</v>
      </c>
      <c r="AD85" s="80">
        <v>28410</v>
      </c>
      <c r="AE85" s="80">
        <v>28930</v>
      </c>
      <c r="AF85" s="80">
        <v>30280</v>
      </c>
      <c r="AG85" s="80">
        <v>30920</v>
      </c>
      <c r="AH85" s="80">
        <v>31220</v>
      </c>
      <c r="AI85" s="80">
        <v>30680</v>
      </c>
      <c r="AJ85" s="80">
        <v>29710</v>
      </c>
      <c r="AK85" s="80">
        <v>29600</v>
      </c>
      <c r="AL85" s="80">
        <v>30210</v>
      </c>
      <c r="AM85" s="80">
        <v>30540</v>
      </c>
      <c r="AN85" s="80">
        <v>31150</v>
      </c>
      <c r="AO85" s="80">
        <v>31210</v>
      </c>
      <c r="AP85" s="80">
        <v>32510</v>
      </c>
      <c r="AQ85" s="80">
        <v>31880</v>
      </c>
      <c r="AR85" s="80">
        <v>31050</v>
      </c>
      <c r="AS85" s="80">
        <v>30130</v>
      </c>
      <c r="AT85" s="80">
        <v>29120</v>
      </c>
      <c r="AU85" s="80">
        <v>27890</v>
      </c>
      <c r="AV85" s="80">
        <v>28100</v>
      </c>
      <c r="AW85" s="80">
        <v>27800</v>
      </c>
      <c r="AX85" s="80">
        <v>28840</v>
      </c>
      <c r="AY85" s="80">
        <v>29000</v>
      </c>
      <c r="AZ85" s="80">
        <v>29370</v>
      </c>
      <c r="BA85" s="80">
        <v>30310</v>
      </c>
      <c r="BB85" s="80">
        <v>31010</v>
      </c>
      <c r="BC85" s="80">
        <v>31660</v>
      </c>
      <c r="BD85" s="80">
        <v>32710</v>
      </c>
      <c r="BE85" s="80">
        <v>33200</v>
      </c>
      <c r="BF85" s="80">
        <v>34270</v>
      </c>
      <c r="BG85" s="80">
        <v>36240</v>
      </c>
      <c r="BH85" s="80">
        <v>37080</v>
      </c>
      <c r="BI85" s="80">
        <v>39040</v>
      </c>
      <c r="BJ85" s="80">
        <v>40470</v>
      </c>
      <c r="BK85" s="80">
        <v>39950</v>
      </c>
      <c r="BL85" s="80">
        <v>39830</v>
      </c>
    </row>
    <row r="86" spans="1:64" x14ac:dyDescent="0.2">
      <c r="A86" s="28">
        <v>76</v>
      </c>
      <c r="B86" s="80">
        <v>11810</v>
      </c>
      <c r="C86" s="80">
        <v>11810</v>
      </c>
      <c r="D86" s="80">
        <v>11370</v>
      </c>
      <c r="E86" s="80">
        <v>11450</v>
      </c>
      <c r="F86" s="80">
        <v>11320</v>
      </c>
      <c r="G86" s="80">
        <v>11380</v>
      </c>
      <c r="H86" s="80">
        <v>11880</v>
      </c>
      <c r="I86" s="80">
        <v>12470</v>
      </c>
      <c r="J86" s="80">
        <v>12960</v>
      </c>
      <c r="K86" s="80">
        <v>13550</v>
      </c>
      <c r="L86" s="80">
        <v>14760</v>
      </c>
      <c r="M86" s="80">
        <v>15950</v>
      </c>
      <c r="N86" s="80">
        <v>16300</v>
      </c>
      <c r="O86" s="80">
        <v>14710</v>
      </c>
      <c r="P86" s="80">
        <v>16380</v>
      </c>
      <c r="Q86" s="80">
        <v>17430</v>
      </c>
      <c r="R86" s="80">
        <v>18320</v>
      </c>
      <c r="S86" s="80">
        <v>21640</v>
      </c>
      <c r="T86" s="80">
        <v>21690</v>
      </c>
      <c r="U86" s="80">
        <v>21500</v>
      </c>
      <c r="V86" s="80">
        <v>22070</v>
      </c>
      <c r="W86" s="80">
        <v>22030</v>
      </c>
      <c r="X86" s="80">
        <v>22680</v>
      </c>
      <c r="Y86" s="80">
        <v>23100</v>
      </c>
      <c r="Z86" s="80">
        <v>24160</v>
      </c>
      <c r="AA86" s="80">
        <v>24820</v>
      </c>
      <c r="AB86" s="80">
        <v>25580</v>
      </c>
      <c r="AC86" s="80">
        <v>26400</v>
      </c>
      <c r="AD86" s="80">
        <v>26830</v>
      </c>
      <c r="AE86" s="80">
        <v>28090</v>
      </c>
      <c r="AF86" s="80">
        <v>28610</v>
      </c>
      <c r="AG86" s="80">
        <v>29960</v>
      </c>
      <c r="AH86" s="80">
        <v>30600</v>
      </c>
      <c r="AI86" s="80">
        <v>30900</v>
      </c>
      <c r="AJ86" s="80">
        <v>30380</v>
      </c>
      <c r="AK86" s="80">
        <v>29430</v>
      </c>
      <c r="AL86" s="80">
        <v>29330</v>
      </c>
      <c r="AM86" s="80">
        <v>29940</v>
      </c>
      <c r="AN86" s="80">
        <v>30280</v>
      </c>
      <c r="AO86" s="80">
        <v>30880</v>
      </c>
      <c r="AP86" s="80">
        <v>30950</v>
      </c>
      <c r="AQ86" s="80">
        <v>32250</v>
      </c>
      <c r="AR86" s="80">
        <v>31630</v>
      </c>
      <c r="AS86" s="80">
        <v>30820</v>
      </c>
      <c r="AT86" s="80">
        <v>29910</v>
      </c>
      <c r="AU86" s="80">
        <v>28910</v>
      </c>
      <c r="AV86" s="80">
        <v>27700</v>
      </c>
      <c r="AW86" s="80">
        <v>27910</v>
      </c>
      <c r="AX86" s="80">
        <v>27620</v>
      </c>
      <c r="AY86" s="80">
        <v>28650</v>
      </c>
      <c r="AZ86" s="80">
        <v>28820</v>
      </c>
      <c r="BA86" s="80">
        <v>29200</v>
      </c>
      <c r="BB86" s="80">
        <v>30130</v>
      </c>
      <c r="BC86" s="80">
        <v>30840</v>
      </c>
      <c r="BD86" s="80">
        <v>31490</v>
      </c>
      <c r="BE86" s="80">
        <v>32540</v>
      </c>
      <c r="BF86" s="80">
        <v>33030</v>
      </c>
      <c r="BG86" s="80">
        <v>34100</v>
      </c>
      <c r="BH86" s="80">
        <v>36060</v>
      </c>
      <c r="BI86" s="80">
        <v>36900</v>
      </c>
      <c r="BJ86" s="80">
        <v>38860</v>
      </c>
      <c r="BK86" s="80">
        <v>40280</v>
      </c>
      <c r="BL86" s="80">
        <v>39770</v>
      </c>
    </row>
    <row r="87" spans="1:64" x14ac:dyDescent="0.2">
      <c r="A87" s="28">
        <v>77</v>
      </c>
      <c r="B87" s="80">
        <v>11080</v>
      </c>
      <c r="C87" s="80">
        <v>11460</v>
      </c>
      <c r="D87" s="80">
        <v>11470</v>
      </c>
      <c r="E87" s="80">
        <v>11050</v>
      </c>
      <c r="F87" s="80">
        <v>11120</v>
      </c>
      <c r="G87" s="80">
        <v>11050</v>
      </c>
      <c r="H87" s="80">
        <v>11070</v>
      </c>
      <c r="I87" s="80">
        <v>11540</v>
      </c>
      <c r="J87" s="80">
        <v>12160</v>
      </c>
      <c r="K87" s="80">
        <v>12670</v>
      </c>
      <c r="L87" s="80">
        <v>13260</v>
      </c>
      <c r="M87" s="80">
        <v>14460</v>
      </c>
      <c r="N87" s="80">
        <v>15630</v>
      </c>
      <c r="O87" s="80">
        <v>15980</v>
      </c>
      <c r="P87" s="80">
        <v>14430</v>
      </c>
      <c r="Q87" s="80">
        <v>16080</v>
      </c>
      <c r="R87" s="80">
        <v>17110</v>
      </c>
      <c r="S87" s="80">
        <v>17990</v>
      </c>
      <c r="T87" s="80">
        <v>21260</v>
      </c>
      <c r="U87" s="80">
        <v>21330</v>
      </c>
      <c r="V87" s="80">
        <v>21150</v>
      </c>
      <c r="W87" s="80">
        <v>21710</v>
      </c>
      <c r="X87" s="80">
        <v>21690</v>
      </c>
      <c r="Y87" s="80">
        <v>22340</v>
      </c>
      <c r="Z87" s="80">
        <v>22760</v>
      </c>
      <c r="AA87" s="80">
        <v>23820</v>
      </c>
      <c r="AB87" s="80">
        <v>24480</v>
      </c>
      <c r="AC87" s="80">
        <v>25230</v>
      </c>
      <c r="AD87" s="80">
        <v>26050</v>
      </c>
      <c r="AE87" s="80">
        <v>26490</v>
      </c>
      <c r="AF87" s="80">
        <v>27740</v>
      </c>
      <c r="AG87" s="80">
        <v>28260</v>
      </c>
      <c r="AH87" s="80">
        <v>29600</v>
      </c>
      <c r="AI87" s="80">
        <v>30240</v>
      </c>
      <c r="AJ87" s="80">
        <v>30560</v>
      </c>
      <c r="AK87" s="80">
        <v>30050</v>
      </c>
      <c r="AL87" s="80">
        <v>29120</v>
      </c>
      <c r="AM87" s="80">
        <v>29030</v>
      </c>
      <c r="AN87" s="80">
        <v>29640</v>
      </c>
      <c r="AO87" s="80">
        <v>29980</v>
      </c>
      <c r="AP87" s="80">
        <v>30590</v>
      </c>
      <c r="AQ87" s="80">
        <v>30660</v>
      </c>
      <c r="AR87" s="80">
        <v>31960</v>
      </c>
      <c r="AS87" s="80">
        <v>31350</v>
      </c>
      <c r="AT87" s="80">
        <v>30560</v>
      </c>
      <c r="AU87" s="80">
        <v>29660</v>
      </c>
      <c r="AV87" s="80">
        <v>28680</v>
      </c>
      <c r="AW87" s="80">
        <v>27480</v>
      </c>
      <c r="AX87" s="80">
        <v>27700</v>
      </c>
      <c r="AY87" s="80">
        <v>27420</v>
      </c>
      <c r="AZ87" s="80">
        <v>28450</v>
      </c>
      <c r="BA87" s="80">
        <v>28620</v>
      </c>
      <c r="BB87" s="80">
        <v>29000</v>
      </c>
      <c r="BC87" s="80">
        <v>29930</v>
      </c>
      <c r="BD87" s="80">
        <v>30640</v>
      </c>
      <c r="BE87" s="80">
        <v>31290</v>
      </c>
      <c r="BF87" s="80">
        <v>32340</v>
      </c>
      <c r="BG87" s="80">
        <v>32830</v>
      </c>
      <c r="BH87" s="80">
        <v>33900</v>
      </c>
      <c r="BI87" s="80">
        <v>35850</v>
      </c>
      <c r="BJ87" s="80">
        <v>36700</v>
      </c>
      <c r="BK87" s="80">
        <v>38650</v>
      </c>
      <c r="BL87" s="80">
        <v>40080</v>
      </c>
    </row>
    <row r="88" spans="1:64" x14ac:dyDescent="0.2">
      <c r="A88" s="28">
        <v>78</v>
      </c>
      <c r="B88" s="80">
        <v>10800</v>
      </c>
      <c r="C88" s="80">
        <v>10740</v>
      </c>
      <c r="D88" s="80">
        <v>11110</v>
      </c>
      <c r="E88" s="80">
        <v>11130</v>
      </c>
      <c r="F88" s="80">
        <v>10710</v>
      </c>
      <c r="G88" s="80">
        <v>10800</v>
      </c>
      <c r="H88" s="80">
        <v>10750</v>
      </c>
      <c r="I88" s="80">
        <v>10730</v>
      </c>
      <c r="J88" s="80">
        <v>11230</v>
      </c>
      <c r="K88" s="80">
        <v>11840</v>
      </c>
      <c r="L88" s="80">
        <v>12310</v>
      </c>
      <c r="M88" s="80">
        <v>12960</v>
      </c>
      <c r="N88" s="80">
        <v>14140</v>
      </c>
      <c r="O88" s="80">
        <v>15290</v>
      </c>
      <c r="P88" s="80">
        <v>15630</v>
      </c>
      <c r="Q88" s="80">
        <v>14120</v>
      </c>
      <c r="R88" s="80">
        <v>15740</v>
      </c>
      <c r="S88" s="80">
        <v>16760</v>
      </c>
      <c r="T88" s="80">
        <v>17640</v>
      </c>
      <c r="U88" s="80">
        <v>20850</v>
      </c>
      <c r="V88" s="80">
        <v>20920</v>
      </c>
      <c r="W88" s="80">
        <v>20760</v>
      </c>
      <c r="X88" s="80">
        <v>21330</v>
      </c>
      <c r="Y88" s="80">
        <v>21320</v>
      </c>
      <c r="Z88" s="80">
        <v>21960</v>
      </c>
      <c r="AA88" s="80">
        <v>22380</v>
      </c>
      <c r="AB88" s="80">
        <v>23440</v>
      </c>
      <c r="AC88" s="80">
        <v>24100</v>
      </c>
      <c r="AD88" s="80">
        <v>24850</v>
      </c>
      <c r="AE88" s="80">
        <v>25660</v>
      </c>
      <c r="AF88" s="80">
        <v>26110</v>
      </c>
      <c r="AG88" s="80">
        <v>27350</v>
      </c>
      <c r="AH88" s="80">
        <v>27880</v>
      </c>
      <c r="AI88" s="80">
        <v>29210</v>
      </c>
      <c r="AJ88" s="80">
        <v>29850</v>
      </c>
      <c r="AK88" s="80">
        <v>30170</v>
      </c>
      <c r="AL88" s="80">
        <v>29680</v>
      </c>
      <c r="AM88" s="80">
        <v>28770</v>
      </c>
      <c r="AN88" s="80">
        <v>28690</v>
      </c>
      <c r="AO88" s="80">
        <v>29310</v>
      </c>
      <c r="AP88" s="80">
        <v>29650</v>
      </c>
      <c r="AQ88" s="80">
        <v>30260</v>
      </c>
      <c r="AR88" s="80">
        <v>30340</v>
      </c>
      <c r="AS88" s="80">
        <v>31630</v>
      </c>
      <c r="AT88" s="80">
        <v>31040</v>
      </c>
      <c r="AU88" s="80">
        <v>30260</v>
      </c>
      <c r="AV88" s="80">
        <v>29380</v>
      </c>
      <c r="AW88" s="80">
        <v>28410</v>
      </c>
      <c r="AX88" s="80">
        <v>27230</v>
      </c>
      <c r="AY88" s="80">
        <v>27460</v>
      </c>
      <c r="AZ88" s="80">
        <v>27190</v>
      </c>
      <c r="BA88" s="80">
        <v>28210</v>
      </c>
      <c r="BB88" s="80">
        <v>28390</v>
      </c>
      <c r="BC88" s="80">
        <v>28770</v>
      </c>
      <c r="BD88" s="80">
        <v>29710</v>
      </c>
      <c r="BE88" s="80">
        <v>30410</v>
      </c>
      <c r="BF88" s="80">
        <v>31060</v>
      </c>
      <c r="BG88" s="80">
        <v>32110</v>
      </c>
      <c r="BH88" s="80">
        <v>32610</v>
      </c>
      <c r="BI88" s="80">
        <v>33670</v>
      </c>
      <c r="BJ88" s="80">
        <v>35620</v>
      </c>
      <c r="BK88" s="80">
        <v>36470</v>
      </c>
      <c r="BL88" s="80">
        <v>38410</v>
      </c>
    </row>
    <row r="89" spans="1:64" x14ac:dyDescent="0.2">
      <c r="A89" s="28">
        <v>79</v>
      </c>
      <c r="B89" s="80">
        <v>10220</v>
      </c>
      <c r="C89" s="80">
        <v>10390</v>
      </c>
      <c r="D89" s="80">
        <v>10360</v>
      </c>
      <c r="E89" s="80">
        <v>10710</v>
      </c>
      <c r="F89" s="80">
        <v>10800</v>
      </c>
      <c r="G89" s="80">
        <v>10360</v>
      </c>
      <c r="H89" s="80">
        <v>10460</v>
      </c>
      <c r="I89" s="80">
        <v>10380</v>
      </c>
      <c r="J89" s="80">
        <v>10400</v>
      </c>
      <c r="K89" s="80">
        <v>10920</v>
      </c>
      <c r="L89" s="80">
        <v>11500</v>
      </c>
      <c r="M89" s="80">
        <v>11990</v>
      </c>
      <c r="N89" s="80">
        <v>12630</v>
      </c>
      <c r="O89" s="80">
        <v>13780</v>
      </c>
      <c r="P89" s="80">
        <v>14910</v>
      </c>
      <c r="Q89" s="80">
        <v>15260</v>
      </c>
      <c r="R89" s="80">
        <v>13790</v>
      </c>
      <c r="S89" s="80">
        <v>15380</v>
      </c>
      <c r="T89" s="80">
        <v>16380</v>
      </c>
      <c r="U89" s="80">
        <v>17250</v>
      </c>
      <c r="V89" s="80">
        <v>20410</v>
      </c>
      <c r="W89" s="80">
        <v>20490</v>
      </c>
      <c r="X89" s="80">
        <v>20340</v>
      </c>
      <c r="Y89" s="80">
        <v>20900</v>
      </c>
      <c r="Z89" s="80">
        <v>20900</v>
      </c>
      <c r="AA89" s="80">
        <v>21540</v>
      </c>
      <c r="AB89" s="80">
        <v>21970</v>
      </c>
      <c r="AC89" s="80">
        <v>23010</v>
      </c>
      <c r="AD89" s="80">
        <v>23670</v>
      </c>
      <c r="AE89" s="80">
        <v>24420</v>
      </c>
      <c r="AF89" s="80">
        <v>25230</v>
      </c>
      <c r="AG89" s="80">
        <v>25680</v>
      </c>
      <c r="AH89" s="80">
        <v>26910</v>
      </c>
      <c r="AI89" s="80">
        <v>27440</v>
      </c>
      <c r="AJ89" s="80">
        <v>28770</v>
      </c>
      <c r="AK89" s="80">
        <v>29410</v>
      </c>
      <c r="AL89" s="80">
        <v>29740</v>
      </c>
      <c r="AM89" s="80">
        <v>29260</v>
      </c>
      <c r="AN89" s="80">
        <v>28380</v>
      </c>
      <c r="AO89" s="80">
        <v>28310</v>
      </c>
      <c r="AP89" s="80">
        <v>28930</v>
      </c>
      <c r="AQ89" s="80">
        <v>29270</v>
      </c>
      <c r="AR89" s="80">
        <v>29890</v>
      </c>
      <c r="AS89" s="80">
        <v>29980</v>
      </c>
      <c r="AT89" s="80">
        <v>31260</v>
      </c>
      <c r="AU89" s="80">
        <v>30690</v>
      </c>
      <c r="AV89" s="80">
        <v>29920</v>
      </c>
      <c r="AW89" s="80">
        <v>29060</v>
      </c>
      <c r="AX89" s="80">
        <v>28110</v>
      </c>
      <c r="AY89" s="80">
        <v>26950</v>
      </c>
      <c r="AZ89" s="80">
        <v>27180</v>
      </c>
      <c r="BA89" s="80">
        <v>26920</v>
      </c>
      <c r="BB89" s="80">
        <v>27940</v>
      </c>
      <c r="BC89" s="80">
        <v>28130</v>
      </c>
      <c r="BD89" s="80">
        <v>28510</v>
      </c>
      <c r="BE89" s="80">
        <v>29440</v>
      </c>
      <c r="BF89" s="80">
        <v>30150</v>
      </c>
      <c r="BG89" s="80">
        <v>30800</v>
      </c>
      <c r="BH89" s="80">
        <v>31850</v>
      </c>
      <c r="BI89" s="80">
        <v>32350</v>
      </c>
      <c r="BJ89" s="80">
        <v>33410</v>
      </c>
      <c r="BK89" s="80">
        <v>35350</v>
      </c>
      <c r="BL89" s="80">
        <v>36200</v>
      </c>
    </row>
    <row r="90" spans="1:64" x14ac:dyDescent="0.2">
      <c r="A90" s="28">
        <v>80</v>
      </c>
      <c r="B90" s="80">
        <v>9890</v>
      </c>
      <c r="C90" s="80">
        <v>9830</v>
      </c>
      <c r="D90" s="80">
        <v>9990</v>
      </c>
      <c r="E90" s="80">
        <v>9950</v>
      </c>
      <c r="F90" s="80">
        <v>10300</v>
      </c>
      <c r="G90" s="80">
        <v>10410</v>
      </c>
      <c r="H90" s="80">
        <v>9930</v>
      </c>
      <c r="I90" s="80">
        <v>10090</v>
      </c>
      <c r="J90" s="80">
        <v>10020</v>
      </c>
      <c r="K90" s="80">
        <v>10040</v>
      </c>
      <c r="L90" s="80">
        <v>10560</v>
      </c>
      <c r="M90" s="80">
        <v>11150</v>
      </c>
      <c r="N90" s="80">
        <v>11640</v>
      </c>
      <c r="O90" s="80">
        <v>12260</v>
      </c>
      <c r="P90" s="80">
        <v>13390</v>
      </c>
      <c r="Q90" s="80">
        <v>14500</v>
      </c>
      <c r="R90" s="80">
        <v>14840</v>
      </c>
      <c r="S90" s="80">
        <v>13420</v>
      </c>
      <c r="T90" s="80">
        <v>14970</v>
      </c>
      <c r="U90" s="80">
        <v>15960</v>
      </c>
      <c r="V90" s="80">
        <v>16820</v>
      </c>
      <c r="W90" s="80">
        <v>19910</v>
      </c>
      <c r="X90" s="80">
        <v>20000</v>
      </c>
      <c r="Y90" s="80">
        <v>19870</v>
      </c>
      <c r="Z90" s="80">
        <v>20430</v>
      </c>
      <c r="AA90" s="80">
        <v>20440</v>
      </c>
      <c r="AB90" s="80">
        <v>21080</v>
      </c>
      <c r="AC90" s="80">
        <v>21510</v>
      </c>
      <c r="AD90" s="80">
        <v>22540</v>
      </c>
      <c r="AE90" s="80">
        <v>23200</v>
      </c>
      <c r="AF90" s="80">
        <v>23940</v>
      </c>
      <c r="AG90" s="80">
        <v>24750</v>
      </c>
      <c r="AH90" s="80">
        <v>25200</v>
      </c>
      <c r="AI90" s="80">
        <v>26430</v>
      </c>
      <c r="AJ90" s="80">
        <v>26960</v>
      </c>
      <c r="AK90" s="80">
        <v>28270</v>
      </c>
      <c r="AL90" s="80">
        <v>28910</v>
      </c>
      <c r="AM90" s="80">
        <v>29250</v>
      </c>
      <c r="AN90" s="80">
        <v>28790</v>
      </c>
      <c r="AO90" s="80">
        <v>27930</v>
      </c>
      <c r="AP90" s="80">
        <v>27870</v>
      </c>
      <c r="AQ90" s="80">
        <v>28490</v>
      </c>
      <c r="AR90" s="80">
        <v>28850</v>
      </c>
      <c r="AS90" s="80">
        <v>29460</v>
      </c>
      <c r="AT90" s="80">
        <v>29560</v>
      </c>
      <c r="AU90" s="80">
        <v>30830</v>
      </c>
      <c r="AV90" s="80">
        <v>30280</v>
      </c>
      <c r="AW90" s="80">
        <v>29530</v>
      </c>
      <c r="AX90" s="80">
        <v>28690</v>
      </c>
      <c r="AY90" s="80">
        <v>27760</v>
      </c>
      <c r="AZ90" s="80">
        <v>26630</v>
      </c>
      <c r="BA90" s="80">
        <v>26860</v>
      </c>
      <c r="BB90" s="80">
        <v>26610</v>
      </c>
      <c r="BC90" s="80">
        <v>27630</v>
      </c>
      <c r="BD90" s="80">
        <v>27820</v>
      </c>
      <c r="BE90" s="80">
        <v>28200</v>
      </c>
      <c r="BF90" s="80">
        <v>29140</v>
      </c>
      <c r="BG90" s="80">
        <v>29840</v>
      </c>
      <c r="BH90" s="80">
        <v>30490</v>
      </c>
      <c r="BI90" s="80">
        <v>31540</v>
      </c>
      <c r="BJ90" s="80">
        <v>32040</v>
      </c>
      <c r="BK90" s="80">
        <v>33100</v>
      </c>
      <c r="BL90" s="80">
        <v>35030</v>
      </c>
    </row>
    <row r="91" spans="1:64" x14ac:dyDescent="0.2">
      <c r="A91" s="28">
        <v>81</v>
      </c>
      <c r="B91" s="80">
        <v>9610</v>
      </c>
      <c r="C91" s="80">
        <v>9450</v>
      </c>
      <c r="D91" s="80">
        <v>9380</v>
      </c>
      <c r="E91" s="80">
        <v>9540</v>
      </c>
      <c r="F91" s="80">
        <v>9510</v>
      </c>
      <c r="G91" s="80">
        <v>9820</v>
      </c>
      <c r="H91" s="80">
        <v>9960</v>
      </c>
      <c r="I91" s="80">
        <v>9520</v>
      </c>
      <c r="J91" s="80">
        <v>9690</v>
      </c>
      <c r="K91" s="80">
        <v>9620</v>
      </c>
      <c r="L91" s="80">
        <v>9700</v>
      </c>
      <c r="M91" s="80">
        <v>10190</v>
      </c>
      <c r="N91" s="80">
        <v>10770</v>
      </c>
      <c r="O91" s="80">
        <v>11250</v>
      </c>
      <c r="P91" s="80">
        <v>11860</v>
      </c>
      <c r="Q91" s="80">
        <v>12960</v>
      </c>
      <c r="R91" s="80">
        <v>14040</v>
      </c>
      <c r="S91" s="80">
        <v>14380</v>
      </c>
      <c r="T91" s="80">
        <v>13010</v>
      </c>
      <c r="U91" s="80">
        <v>14530</v>
      </c>
      <c r="V91" s="80">
        <v>15500</v>
      </c>
      <c r="W91" s="80">
        <v>16350</v>
      </c>
      <c r="X91" s="80">
        <v>19360</v>
      </c>
      <c r="Y91" s="80">
        <v>19460</v>
      </c>
      <c r="Z91" s="80">
        <v>19340</v>
      </c>
      <c r="AA91" s="80">
        <v>19910</v>
      </c>
      <c r="AB91" s="80">
        <v>19930</v>
      </c>
      <c r="AC91" s="80">
        <v>20560</v>
      </c>
      <c r="AD91" s="80">
        <v>20990</v>
      </c>
      <c r="AE91" s="80">
        <v>22010</v>
      </c>
      <c r="AF91" s="80">
        <v>22670</v>
      </c>
      <c r="AG91" s="80">
        <v>23410</v>
      </c>
      <c r="AH91" s="80">
        <v>24210</v>
      </c>
      <c r="AI91" s="80">
        <v>24660</v>
      </c>
      <c r="AJ91" s="80">
        <v>25870</v>
      </c>
      <c r="AK91" s="80">
        <v>26400</v>
      </c>
      <c r="AL91" s="80">
        <v>27700</v>
      </c>
      <c r="AM91" s="80">
        <v>28350</v>
      </c>
      <c r="AN91" s="80">
        <v>28690</v>
      </c>
      <c r="AO91" s="80">
        <v>28250</v>
      </c>
      <c r="AP91" s="80">
        <v>27420</v>
      </c>
      <c r="AQ91" s="80">
        <v>27380</v>
      </c>
      <c r="AR91" s="80">
        <v>27990</v>
      </c>
      <c r="AS91" s="80">
        <v>28350</v>
      </c>
      <c r="AT91" s="80">
        <v>28970</v>
      </c>
      <c r="AU91" s="80">
        <v>29080</v>
      </c>
      <c r="AV91" s="80">
        <v>30340</v>
      </c>
      <c r="AW91" s="80">
        <v>29810</v>
      </c>
      <c r="AX91" s="80">
        <v>29080</v>
      </c>
      <c r="AY91" s="80">
        <v>28270</v>
      </c>
      <c r="AZ91" s="80">
        <v>27360</v>
      </c>
      <c r="BA91" s="80">
        <v>26250</v>
      </c>
      <c r="BB91" s="80">
        <v>26490</v>
      </c>
      <c r="BC91" s="80">
        <v>26250</v>
      </c>
      <c r="BD91" s="80">
        <v>27260</v>
      </c>
      <c r="BE91" s="80">
        <v>27460</v>
      </c>
      <c r="BF91" s="80">
        <v>27850</v>
      </c>
      <c r="BG91" s="80">
        <v>28770</v>
      </c>
      <c r="BH91" s="80">
        <v>29480</v>
      </c>
      <c r="BI91" s="80">
        <v>30130</v>
      </c>
      <c r="BJ91" s="80">
        <v>31170</v>
      </c>
      <c r="BK91" s="80">
        <v>31680</v>
      </c>
      <c r="BL91" s="80">
        <v>32730</v>
      </c>
    </row>
    <row r="92" spans="1:64" x14ac:dyDescent="0.2">
      <c r="A92" s="28">
        <v>82</v>
      </c>
      <c r="B92" s="80">
        <v>8770</v>
      </c>
      <c r="C92" s="80">
        <v>9110</v>
      </c>
      <c r="D92" s="80">
        <v>8970</v>
      </c>
      <c r="E92" s="80">
        <v>8930</v>
      </c>
      <c r="F92" s="80">
        <v>9080</v>
      </c>
      <c r="G92" s="80">
        <v>9040</v>
      </c>
      <c r="H92" s="80">
        <v>9340</v>
      </c>
      <c r="I92" s="80">
        <v>9530</v>
      </c>
      <c r="J92" s="80">
        <v>9100</v>
      </c>
      <c r="K92" s="80">
        <v>9220</v>
      </c>
      <c r="L92" s="80">
        <v>9200</v>
      </c>
      <c r="M92" s="80">
        <v>9320</v>
      </c>
      <c r="N92" s="80">
        <v>9790</v>
      </c>
      <c r="O92" s="80">
        <v>10360</v>
      </c>
      <c r="P92" s="80">
        <v>10830</v>
      </c>
      <c r="Q92" s="80">
        <v>11420</v>
      </c>
      <c r="R92" s="80">
        <v>12480</v>
      </c>
      <c r="S92" s="80">
        <v>13540</v>
      </c>
      <c r="T92" s="80">
        <v>13880</v>
      </c>
      <c r="U92" s="80">
        <v>12570</v>
      </c>
      <c r="V92" s="80">
        <v>14050</v>
      </c>
      <c r="W92" s="80">
        <v>14990</v>
      </c>
      <c r="X92" s="80">
        <v>15820</v>
      </c>
      <c r="Y92" s="80">
        <v>18750</v>
      </c>
      <c r="Z92" s="80">
        <v>18860</v>
      </c>
      <c r="AA92" s="80">
        <v>18760</v>
      </c>
      <c r="AB92" s="80">
        <v>19320</v>
      </c>
      <c r="AC92" s="80">
        <v>19350</v>
      </c>
      <c r="AD92" s="80">
        <v>19980</v>
      </c>
      <c r="AE92" s="80">
        <v>20410</v>
      </c>
      <c r="AF92" s="80">
        <v>21420</v>
      </c>
      <c r="AG92" s="80">
        <v>22070</v>
      </c>
      <c r="AH92" s="80">
        <v>22800</v>
      </c>
      <c r="AI92" s="80">
        <v>23590</v>
      </c>
      <c r="AJ92" s="80">
        <v>24050</v>
      </c>
      <c r="AK92" s="80">
        <v>25240</v>
      </c>
      <c r="AL92" s="80">
        <v>25780</v>
      </c>
      <c r="AM92" s="80">
        <v>27060</v>
      </c>
      <c r="AN92" s="80">
        <v>27700</v>
      </c>
      <c r="AO92" s="80">
        <v>28050</v>
      </c>
      <c r="AP92" s="80">
        <v>27630</v>
      </c>
      <c r="AQ92" s="80">
        <v>26830</v>
      </c>
      <c r="AR92" s="80">
        <v>26800</v>
      </c>
      <c r="AS92" s="80">
        <v>27420</v>
      </c>
      <c r="AT92" s="80">
        <v>27780</v>
      </c>
      <c r="AU92" s="80">
        <v>28400</v>
      </c>
      <c r="AV92" s="80">
        <v>28520</v>
      </c>
      <c r="AW92" s="80">
        <v>29770</v>
      </c>
      <c r="AX92" s="80">
        <v>29260</v>
      </c>
      <c r="AY92" s="80">
        <v>28560</v>
      </c>
      <c r="AZ92" s="80">
        <v>27770</v>
      </c>
      <c r="BA92" s="80">
        <v>26890</v>
      </c>
      <c r="BB92" s="80">
        <v>25800</v>
      </c>
      <c r="BC92" s="80">
        <v>26050</v>
      </c>
      <c r="BD92" s="80">
        <v>25820</v>
      </c>
      <c r="BE92" s="80">
        <v>26830</v>
      </c>
      <c r="BF92" s="80">
        <v>27030</v>
      </c>
      <c r="BG92" s="80">
        <v>27420</v>
      </c>
      <c r="BH92" s="80">
        <v>28340</v>
      </c>
      <c r="BI92" s="80">
        <v>29050</v>
      </c>
      <c r="BJ92" s="80">
        <v>29700</v>
      </c>
      <c r="BK92" s="80">
        <v>30740</v>
      </c>
      <c r="BL92" s="80">
        <v>31240</v>
      </c>
    </row>
    <row r="93" spans="1:64" x14ac:dyDescent="0.2">
      <c r="A93" s="28">
        <v>83</v>
      </c>
      <c r="B93" s="80">
        <v>8030</v>
      </c>
      <c r="C93" s="80">
        <v>8270</v>
      </c>
      <c r="D93" s="80">
        <v>8570</v>
      </c>
      <c r="E93" s="80">
        <v>8440</v>
      </c>
      <c r="F93" s="80">
        <v>8400</v>
      </c>
      <c r="G93" s="80">
        <v>8590</v>
      </c>
      <c r="H93" s="80">
        <v>8550</v>
      </c>
      <c r="I93" s="80">
        <v>8820</v>
      </c>
      <c r="J93" s="80">
        <v>9080</v>
      </c>
      <c r="K93" s="80">
        <v>8600</v>
      </c>
      <c r="L93" s="80">
        <v>8780</v>
      </c>
      <c r="M93" s="80">
        <v>8780</v>
      </c>
      <c r="N93" s="80">
        <v>8900</v>
      </c>
      <c r="O93" s="80">
        <v>9360</v>
      </c>
      <c r="P93" s="80">
        <v>9910</v>
      </c>
      <c r="Q93" s="80">
        <v>10360</v>
      </c>
      <c r="R93" s="80">
        <v>10940</v>
      </c>
      <c r="S93" s="80">
        <v>11970</v>
      </c>
      <c r="T93" s="80">
        <v>12990</v>
      </c>
      <c r="U93" s="80">
        <v>13320</v>
      </c>
      <c r="V93" s="80">
        <v>12080</v>
      </c>
      <c r="W93" s="80">
        <v>13510</v>
      </c>
      <c r="X93" s="80">
        <v>14430</v>
      </c>
      <c r="Y93" s="80">
        <v>15240</v>
      </c>
      <c r="Z93" s="80">
        <v>18080</v>
      </c>
      <c r="AA93" s="80">
        <v>18190</v>
      </c>
      <c r="AB93" s="80">
        <v>18110</v>
      </c>
      <c r="AC93" s="80">
        <v>18660</v>
      </c>
      <c r="AD93" s="80">
        <v>18710</v>
      </c>
      <c r="AE93" s="80">
        <v>19330</v>
      </c>
      <c r="AF93" s="80">
        <v>19750</v>
      </c>
      <c r="AG93" s="80">
        <v>20740</v>
      </c>
      <c r="AH93" s="80">
        <v>21390</v>
      </c>
      <c r="AI93" s="80">
        <v>22110</v>
      </c>
      <c r="AJ93" s="80">
        <v>22890</v>
      </c>
      <c r="AK93" s="80">
        <v>23350</v>
      </c>
      <c r="AL93" s="80">
        <v>24520</v>
      </c>
      <c r="AM93" s="80">
        <v>25060</v>
      </c>
      <c r="AN93" s="80">
        <v>26320</v>
      </c>
      <c r="AO93" s="80">
        <v>26960</v>
      </c>
      <c r="AP93" s="80">
        <v>27310</v>
      </c>
      <c r="AQ93" s="80">
        <v>26920</v>
      </c>
      <c r="AR93" s="80">
        <v>26160</v>
      </c>
      <c r="AS93" s="80">
        <v>26140</v>
      </c>
      <c r="AT93" s="80">
        <v>26750</v>
      </c>
      <c r="AU93" s="80">
        <v>27120</v>
      </c>
      <c r="AV93" s="80">
        <v>27740</v>
      </c>
      <c r="AW93" s="80">
        <v>27870</v>
      </c>
      <c r="AX93" s="80">
        <v>29100</v>
      </c>
      <c r="AY93" s="80">
        <v>28610</v>
      </c>
      <c r="AZ93" s="80">
        <v>27940</v>
      </c>
      <c r="BA93" s="80">
        <v>27180</v>
      </c>
      <c r="BB93" s="80">
        <v>26330</v>
      </c>
      <c r="BC93" s="80">
        <v>25280</v>
      </c>
      <c r="BD93" s="80">
        <v>25530</v>
      </c>
      <c r="BE93" s="80">
        <v>25320</v>
      </c>
      <c r="BF93" s="80">
        <v>26320</v>
      </c>
      <c r="BG93" s="80">
        <v>26520</v>
      </c>
      <c r="BH93" s="80">
        <v>26920</v>
      </c>
      <c r="BI93" s="80">
        <v>27830</v>
      </c>
      <c r="BJ93" s="80">
        <v>28540</v>
      </c>
      <c r="BK93" s="80">
        <v>29190</v>
      </c>
      <c r="BL93" s="80">
        <v>30210</v>
      </c>
    </row>
    <row r="94" spans="1:64" x14ac:dyDescent="0.2">
      <c r="A94" s="28">
        <v>84</v>
      </c>
      <c r="B94" s="80">
        <v>7700</v>
      </c>
      <c r="C94" s="80">
        <v>7490</v>
      </c>
      <c r="D94" s="80">
        <v>7730</v>
      </c>
      <c r="E94" s="80">
        <v>8040</v>
      </c>
      <c r="F94" s="80">
        <v>7890</v>
      </c>
      <c r="G94" s="80">
        <v>7870</v>
      </c>
      <c r="H94" s="80">
        <v>7980</v>
      </c>
      <c r="I94" s="80">
        <v>8060</v>
      </c>
      <c r="J94" s="80">
        <v>8360</v>
      </c>
      <c r="K94" s="80">
        <v>8550</v>
      </c>
      <c r="L94" s="80">
        <v>8170</v>
      </c>
      <c r="M94" s="80">
        <v>8310</v>
      </c>
      <c r="N94" s="80">
        <v>8320</v>
      </c>
      <c r="O94" s="80">
        <v>8440</v>
      </c>
      <c r="P94" s="80">
        <v>8880</v>
      </c>
      <c r="Q94" s="80">
        <v>9410</v>
      </c>
      <c r="R94" s="80">
        <v>9850</v>
      </c>
      <c r="S94" s="80">
        <v>10410</v>
      </c>
      <c r="T94" s="80">
        <v>11400</v>
      </c>
      <c r="U94" s="80">
        <v>12380</v>
      </c>
      <c r="V94" s="80">
        <v>12710</v>
      </c>
      <c r="W94" s="80">
        <v>11530</v>
      </c>
      <c r="X94" s="80">
        <v>12910</v>
      </c>
      <c r="Y94" s="80">
        <v>13810</v>
      </c>
      <c r="Z94" s="80">
        <v>14590</v>
      </c>
      <c r="AA94" s="80">
        <v>17320</v>
      </c>
      <c r="AB94" s="80">
        <v>17450</v>
      </c>
      <c r="AC94" s="80">
        <v>17380</v>
      </c>
      <c r="AD94" s="80">
        <v>17920</v>
      </c>
      <c r="AE94" s="80">
        <v>17980</v>
      </c>
      <c r="AF94" s="80">
        <v>18590</v>
      </c>
      <c r="AG94" s="80">
        <v>19020</v>
      </c>
      <c r="AH94" s="80">
        <v>19980</v>
      </c>
      <c r="AI94" s="80">
        <v>20620</v>
      </c>
      <c r="AJ94" s="80">
        <v>21330</v>
      </c>
      <c r="AK94" s="80">
        <v>22100</v>
      </c>
      <c r="AL94" s="80">
        <v>22560</v>
      </c>
      <c r="AM94" s="80">
        <v>23700</v>
      </c>
      <c r="AN94" s="80">
        <v>24230</v>
      </c>
      <c r="AO94" s="80">
        <v>25470</v>
      </c>
      <c r="AP94" s="80">
        <v>26100</v>
      </c>
      <c r="AQ94" s="80">
        <v>26460</v>
      </c>
      <c r="AR94" s="80">
        <v>26100</v>
      </c>
      <c r="AS94" s="80">
        <v>25370</v>
      </c>
      <c r="AT94" s="80">
        <v>25370</v>
      </c>
      <c r="AU94" s="80">
        <v>25980</v>
      </c>
      <c r="AV94" s="80">
        <v>26350</v>
      </c>
      <c r="AW94" s="80">
        <v>26960</v>
      </c>
      <c r="AX94" s="80">
        <v>27100</v>
      </c>
      <c r="AY94" s="80">
        <v>28320</v>
      </c>
      <c r="AZ94" s="80">
        <v>27860</v>
      </c>
      <c r="BA94" s="80">
        <v>27220</v>
      </c>
      <c r="BB94" s="80">
        <v>26490</v>
      </c>
      <c r="BC94" s="80">
        <v>25670</v>
      </c>
      <c r="BD94" s="80">
        <v>24660</v>
      </c>
      <c r="BE94" s="80">
        <v>24910</v>
      </c>
      <c r="BF94" s="80">
        <v>24720</v>
      </c>
      <c r="BG94" s="80">
        <v>25710</v>
      </c>
      <c r="BH94" s="80">
        <v>25920</v>
      </c>
      <c r="BI94" s="80">
        <v>26320</v>
      </c>
      <c r="BJ94" s="80">
        <v>27220</v>
      </c>
      <c r="BK94" s="80">
        <v>27920</v>
      </c>
      <c r="BL94" s="80">
        <v>28570</v>
      </c>
    </row>
    <row r="95" spans="1:64" x14ac:dyDescent="0.2">
      <c r="A95" s="28">
        <v>85</v>
      </c>
      <c r="B95" s="80">
        <v>6940</v>
      </c>
      <c r="C95" s="80">
        <v>7130</v>
      </c>
      <c r="D95" s="80">
        <v>6960</v>
      </c>
      <c r="E95" s="80">
        <v>7160</v>
      </c>
      <c r="F95" s="80">
        <v>7480</v>
      </c>
      <c r="G95" s="80">
        <v>7290</v>
      </c>
      <c r="H95" s="80">
        <v>7350</v>
      </c>
      <c r="I95" s="80">
        <v>7380</v>
      </c>
      <c r="J95" s="80">
        <v>7530</v>
      </c>
      <c r="K95" s="80">
        <v>7770</v>
      </c>
      <c r="L95" s="80">
        <v>8000</v>
      </c>
      <c r="M95" s="80">
        <v>7670</v>
      </c>
      <c r="N95" s="80">
        <v>7810</v>
      </c>
      <c r="O95" s="80">
        <v>7820</v>
      </c>
      <c r="P95" s="80">
        <v>7940</v>
      </c>
      <c r="Q95" s="80">
        <v>8370</v>
      </c>
      <c r="R95" s="80">
        <v>8870</v>
      </c>
      <c r="S95" s="80">
        <v>9300</v>
      </c>
      <c r="T95" s="80">
        <v>9830</v>
      </c>
      <c r="U95" s="80">
        <v>10780</v>
      </c>
      <c r="V95" s="80">
        <v>11720</v>
      </c>
      <c r="W95" s="80">
        <v>12050</v>
      </c>
      <c r="X95" s="80">
        <v>10940</v>
      </c>
      <c r="Y95" s="80">
        <v>12260</v>
      </c>
      <c r="Z95" s="80">
        <v>13120</v>
      </c>
      <c r="AA95" s="80">
        <v>13880</v>
      </c>
      <c r="AB95" s="80">
        <v>16490</v>
      </c>
      <c r="AC95" s="80">
        <v>16620</v>
      </c>
      <c r="AD95" s="80">
        <v>16570</v>
      </c>
      <c r="AE95" s="80">
        <v>17100</v>
      </c>
      <c r="AF95" s="80">
        <v>17170</v>
      </c>
      <c r="AG95" s="80">
        <v>17770</v>
      </c>
      <c r="AH95" s="80">
        <v>18190</v>
      </c>
      <c r="AI95" s="80">
        <v>19130</v>
      </c>
      <c r="AJ95" s="80">
        <v>19750</v>
      </c>
      <c r="AK95" s="80">
        <v>20440</v>
      </c>
      <c r="AL95" s="80">
        <v>21200</v>
      </c>
      <c r="AM95" s="80">
        <v>21650</v>
      </c>
      <c r="AN95" s="80">
        <v>22770</v>
      </c>
      <c r="AO95" s="80">
        <v>23290</v>
      </c>
      <c r="AP95" s="80">
        <v>24500</v>
      </c>
      <c r="AQ95" s="80">
        <v>25130</v>
      </c>
      <c r="AR95" s="80">
        <v>25480</v>
      </c>
      <c r="AS95" s="80">
        <v>25150</v>
      </c>
      <c r="AT95" s="80">
        <v>24470</v>
      </c>
      <c r="AU95" s="80">
        <v>24480</v>
      </c>
      <c r="AV95" s="80">
        <v>25090</v>
      </c>
      <c r="AW95" s="80">
        <v>25460</v>
      </c>
      <c r="AX95" s="80">
        <v>26070</v>
      </c>
      <c r="AY95" s="80">
        <v>26210</v>
      </c>
      <c r="AZ95" s="80">
        <v>27410</v>
      </c>
      <c r="BA95" s="80">
        <v>26980</v>
      </c>
      <c r="BB95" s="80">
        <v>26370</v>
      </c>
      <c r="BC95" s="80">
        <v>25680</v>
      </c>
      <c r="BD95" s="80">
        <v>24900</v>
      </c>
      <c r="BE95" s="80">
        <v>23930</v>
      </c>
      <c r="BF95" s="80">
        <v>24190</v>
      </c>
      <c r="BG95" s="80">
        <v>24010</v>
      </c>
      <c r="BH95" s="80">
        <v>24980</v>
      </c>
      <c r="BI95" s="80">
        <v>25200</v>
      </c>
      <c r="BJ95" s="80">
        <v>25600</v>
      </c>
      <c r="BK95" s="80">
        <v>26490</v>
      </c>
      <c r="BL95" s="80">
        <v>27190</v>
      </c>
    </row>
    <row r="96" spans="1:64" x14ac:dyDescent="0.2">
      <c r="A96" s="28">
        <v>86</v>
      </c>
      <c r="B96" s="80">
        <v>6240</v>
      </c>
      <c r="C96" s="80">
        <v>6390</v>
      </c>
      <c r="D96" s="80">
        <v>6540</v>
      </c>
      <c r="E96" s="80">
        <v>6380</v>
      </c>
      <c r="F96" s="80">
        <v>6560</v>
      </c>
      <c r="G96" s="80">
        <v>6900</v>
      </c>
      <c r="H96" s="80">
        <v>6650</v>
      </c>
      <c r="I96" s="80">
        <v>6750</v>
      </c>
      <c r="J96" s="80">
        <v>6850</v>
      </c>
      <c r="K96" s="80">
        <v>6960</v>
      </c>
      <c r="L96" s="80">
        <v>7200</v>
      </c>
      <c r="M96" s="80">
        <v>7430</v>
      </c>
      <c r="N96" s="80">
        <v>7130</v>
      </c>
      <c r="O96" s="80">
        <v>7270</v>
      </c>
      <c r="P96" s="80">
        <v>7290</v>
      </c>
      <c r="Q96" s="80">
        <v>7410</v>
      </c>
      <c r="R96" s="80">
        <v>7810</v>
      </c>
      <c r="S96" s="80">
        <v>8300</v>
      </c>
      <c r="T96" s="80">
        <v>8700</v>
      </c>
      <c r="U96" s="80">
        <v>9210</v>
      </c>
      <c r="V96" s="80">
        <v>10110</v>
      </c>
      <c r="W96" s="80">
        <v>11000</v>
      </c>
      <c r="X96" s="80">
        <v>11320</v>
      </c>
      <c r="Y96" s="80">
        <v>10290</v>
      </c>
      <c r="Z96" s="80">
        <v>11540</v>
      </c>
      <c r="AA96" s="80">
        <v>12360</v>
      </c>
      <c r="AB96" s="80">
        <v>13090</v>
      </c>
      <c r="AC96" s="80">
        <v>15560</v>
      </c>
      <c r="AD96" s="80">
        <v>15710</v>
      </c>
      <c r="AE96" s="80">
        <v>15670</v>
      </c>
      <c r="AF96" s="80">
        <v>16190</v>
      </c>
      <c r="AG96" s="80">
        <v>16270</v>
      </c>
      <c r="AH96" s="80">
        <v>16850</v>
      </c>
      <c r="AI96" s="80">
        <v>17260</v>
      </c>
      <c r="AJ96" s="80">
        <v>18160</v>
      </c>
      <c r="AK96" s="80">
        <v>18770</v>
      </c>
      <c r="AL96" s="80">
        <v>19450</v>
      </c>
      <c r="AM96" s="80">
        <v>20180</v>
      </c>
      <c r="AN96" s="80">
        <v>20630</v>
      </c>
      <c r="AO96" s="80">
        <v>21710</v>
      </c>
      <c r="AP96" s="80">
        <v>22220</v>
      </c>
      <c r="AQ96" s="80">
        <v>23390</v>
      </c>
      <c r="AR96" s="80">
        <v>24010</v>
      </c>
      <c r="AS96" s="80">
        <v>24370</v>
      </c>
      <c r="AT96" s="80">
        <v>24070</v>
      </c>
      <c r="AU96" s="80">
        <v>23430</v>
      </c>
      <c r="AV96" s="80">
        <v>23450</v>
      </c>
      <c r="AW96" s="80">
        <v>24050</v>
      </c>
      <c r="AX96" s="80">
        <v>24420</v>
      </c>
      <c r="AY96" s="80">
        <v>25020</v>
      </c>
      <c r="AZ96" s="80">
        <v>25180</v>
      </c>
      <c r="BA96" s="80">
        <v>26340</v>
      </c>
      <c r="BB96" s="80">
        <v>25940</v>
      </c>
      <c r="BC96" s="80">
        <v>25380</v>
      </c>
      <c r="BD96" s="80">
        <v>24730</v>
      </c>
      <c r="BE96" s="80">
        <v>23990</v>
      </c>
      <c r="BF96" s="80">
        <v>23070</v>
      </c>
      <c r="BG96" s="80">
        <v>23330</v>
      </c>
      <c r="BH96" s="80">
        <v>23170</v>
      </c>
      <c r="BI96" s="80">
        <v>24120</v>
      </c>
      <c r="BJ96" s="80">
        <v>24350</v>
      </c>
      <c r="BK96" s="80">
        <v>24750</v>
      </c>
      <c r="BL96" s="80">
        <v>25620</v>
      </c>
    </row>
    <row r="97" spans="1:64" x14ac:dyDescent="0.2">
      <c r="A97" s="28">
        <v>87</v>
      </c>
      <c r="B97" s="80">
        <v>4700</v>
      </c>
      <c r="C97" s="80">
        <v>5630</v>
      </c>
      <c r="D97" s="80">
        <v>5730</v>
      </c>
      <c r="E97" s="80">
        <v>5900</v>
      </c>
      <c r="F97" s="80">
        <v>5790</v>
      </c>
      <c r="G97" s="80">
        <v>5930</v>
      </c>
      <c r="H97" s="80">
        <v>6250</v>
      </c>
      <c r="I97" s="80">
        <v>6040</v>
      </c>
      <c r="J97" s="80">
        <v>6220</v>
      </c>
      <c r="K97" s="80">
        <v>6250</v>
      </c>
      <c r="L97" s="80">
        <v>6400</v>
      </c>
      <c r="M97" s="80">
        <v>6610</v>
      </c>
      <c r="N97" s="80">
        <v>6830</v>
      </c>
      <c r="O97" s="80">
        <v>6560</v>
      </c>
      <c r="P97" s="80">
        <v>6700</v>
      </c>
      <c r="Q97" s="80">
        <v>6720</v>
      </c>
      <c r="R97" s="80">
        <v>6840</v>
      </c>
      <c r="S97" s="80">
        <v>7220</v>
      </c>
      <c r="T97" s="80">
        <v>7680</v>
      </c>
      <c r="U97" s="80">
        <v>8060</v>
      </c>
      <c r="V97" s="80">
        <v>8540</v>
      </c>
      <c r="W97" s="80">
        <v>9390</v>
      </c>
      <c r="X97" s="80">
        <v>10230</v>
      </c>
      <c r="Y97" s="80">
        <v>10530</v>
      </c>
      <c r="Z97" s="80">
        <v>9580</v>
      </c>
      <c r="AA97" s="80">
        <v>10760</v>
      </c>
      <c r="AB97" s="80">
        <v>11530</v>
      </c>
      <c r="AC97" s="80">
        <v>12220</v>
      </c>
      <c r="AD97" s="80">
        <v>14550</v>
      </c>
      <c r="AE97" s="80">
        <v>14700</v>
      </c>
      <c r="AF97" s="80">
        <v>14680</v>
      </c>
      <c r="AG97" s="80">
        <v>15180</v>
      </c>
      <c r="AH97" s="80">
        <v>15260</v>
      </c>
      <c r="AI97" s="80">
        <v>15820</v>
      </c>
      <c r="AJ97" s="80">
        <v>16220</v>
      </c>
      <c r="AK97" s="80">
        <v>17090</v>
      </c>
      <c r="AL97" s="80">
        <v>17670</v>
      </c>
      <c r="AM97" s="80">
        <v>18330</v>
      </c>
      <c r="AN97" s="80">
        <v>19040</v>
      </c>
      <c r="AO97" s="80">
        <v>19470</v>
      </c>
      <c r="AP97" s="80">
        <v>20510</v>
      </c>
      <c r="AQ97" s="80">
        <v>21010</v>
      </c>
      <c r="AR97" s="80">
        <v>22130</v>
      </c>
      <c r="AS97" s="80">
        <v>22730</v>
      </c>
      <c r="AT97" s="80">
        <v>23090</v>
      </c>
      <c r="AU97" s="80">
        <v>22830</v>
      </c>
      <c r="AV97" s="80">
        <v>22240</v>
      </c>
      <c r="AW97" s="80">
        <v>22280</v>
      </c>
      <c r="AX97" s="80">
        <v>22860</v>
      </c>
      <c r="AY97" s="80">
        <v>23230</v>
      </c>
      <c r="AZ97" s="80">
        <v>23820</v>
      </c>
      <c r="BA97" s="80">
        <v>23990</v>
      </c>
      <c r="BB97" s="80">
        <v>25110</v>
      </c>
      <c r="BC97" s="80">
        <v>24750</v>
      </c>
      <c r="BD97" s="80">
        <v>24220</v>
      </c>
      <c r="BE97" s="80">
        <v>23610</v>
      </c>
      <c r="BF97" s="80">
        <v>22930</v>
      </c>
      <c r="BG97" s="80">
        <v>22060</v>
      </c>
      <c r="BH97" s="80">
        <v>22320</v>
      </c>
      <c r="BI97" s="80">
        <v>22190</v>
      </c>
      <c r="BJ97" s="80">
        <v>23110</v>
      </c>
      <c r="BK97" s="80">
        <v>23340</v>
      </c>
      <c r="BL97" s="80">
        <v>23740</v>
      </c>
    </row>
    <row r="98" spans="1:64" x14ac:dyDescent="0.2">
      <c r="A98" s="28">
        <v>88</v>
      </c>
      <c r="B98" s="80">
        <v>4260</v>
      </c>
      <c r="C98" s="80">
        <v>4210</v>
      </c>
      <c r="D98" s="80">
        <v>4990</v>
      </c>
      <c r="E98" s="80">
        <v>5140</v>
      </c>
      <c r="F98" s="80">
        <v>5280</v>
      </c>
      <c r="G98" s="80">
        <v>5170</v>
      </c>
      <c r="H98" s="80">
        <v>5280</v>
      </c>
      <c r="I98" s="80">
        <v>5610</v>
      </c>
      <c r="J98" s="80">
        <v>5470</v>
      </c>
      <c r="K98" s="80">
        <v>5620</v>
      </c>
      <c r="L98" s="80">
        <v>5630</v>
      </c>
      <c r="M98" s="80">
        <v>5800</v>
      </c>
      <c r="N98" s="80">
        <v>6000</v>
      </c>
      <c r="O98" s="80">
        <v>6210</v>
      </c>
      <c r="P98" s="80">
        <v>5970</v>
      </c>
      <c r="Q98" s="80">
        <v>6100</v>
      </c>
      <c r="R98" s="80">
        <v>6130</v>
      </c>
      <c r="S98" s="80">
        <v>6240</v>
      </c>
      <c r="T98" s="80">
        <v>6600</v>
      </c>
      <c r="U98" s="80">
        <v>7020</v>
      </c>
      <c r="V98" s="80">
        <v>7380</v>
      </c>
      <c r="W98" s="80">
        <v>7830</v>
      </c>
      <c r="X98" s="80">
        <v>8610</v>
      </c>
      <c r="Y98" s="80">
        <v>9390</v>
      </c>
      <c r="Z98" s="80">
        <v>9690</v>
      </c>
      <c r="AA98" s="80">
        <v>8820</v>
      </c>
      <c r="AB98" s="80">
        <v>9910</v>
      </c>
      <c r="AC98" s="80">
        <v>10640</v>
      </c>
      <c r="AD98" s="80">
        <v>11290</v>
      </c>
      <c r="AE98" s="80">
        <v>13450</v>
      </c>
      <c r="AF98" s="80">
        <v>13600</v>
      </c>
      <c r="AG98" s="80">
        <v>13600</v>
      </c>
      <c r="AH98" s="80">
        <v>14070</v>
      </c>
      <c r="AI98" s="80">
        <v>14170</v>
      </c>
      <c r="AJ98" s="80">
        <v>14700</v>
      </c>
      <c r="AK98" s="80">
        <v>15080</v>
      </c>
      <c r="AL98" s="80">
        <v>15900</v>
      </c>
      <c r="AM98" s="80">
        <v>16460</v>
      </c>
      <c r="AN98" s="80">
        <v>17090</v>
      </c>
      <c r="AO98" s="80">
        <v>17760</v>
      </c>
      <c r="AP98" s="80">
        <v>18180</v>
      </c>
      <c r="AQ98" s="80">
        <v>19170</v>
      </c>
      <c r="AR98" s="80">
        <v>19660</v>
      </c>
      <c r="AS98" s="80">
        <v>20720</v>
      </c>
      <c r="AT98" s="80">
        <v>21300</v>
      </c>
      <c r="AU98" s="80">
        <v>21660</v>
      </c>
      <c r="AV98" s="80">
        <v>21420</v>
      </c>
      <c r="AW98" s="80">
        <v>20890</v>
      </c>
      <c r="AX98" s="80">
        <v>20940</v>
      </c>
      <c r="AY98" s="80">
        <v>21510</v>
      </c>
      <c r="AZ98" s="80">
        <v>21870</v>
      </c>
      <c r="BA98" s="80">
        <v>22440</v>
      </c>
      <c r="BB98" s="80">
        <v>22620</v>
      </c>
      <c r="BC98" s="80">
        <v>23690</v>
      </c>
      <c r="BD98" s="80">
        <v>23370</v>
      </c>
      <c r="BE98" s="80">
        <v>22890</v>
      </c>
      <c r="BF98" s="80">
        <v>22330</v>
      </c>
      <c r="BG98" s="80">
        <v>21690</v>
      </c>
      <c r="BH98" s="80">
        <v>20890</v>
      </c>
      <c r="BI98" s="80">
        <v>21150</v>
      </c>
      <c r="BJ98" s="80">
        <v>21040</v>
      </c>
      <c r="BK98" s="80">
        <v>21930</v>
      </c>
      <c r="BL98" s="80">
        <v>22160</v>
      </c>
    </row>
    <row r="99" spans="1:64" x14ac:dyDescent="0.2">
      <c r="A99" s="28">
        <v>89</v>
      </c>
      <c r="B99" s="80">
        <v>3770</v>
      </c>
      <c r="C99" s="80">
        <v>3750</v>
      </c>
      <c r="D99" s="80">
        <v>3720</v>
      </c>
      <c r="E99" s="80">
        <v>4400</v>
      </c>
      <c r="F99" s="80">
        <v>4520</v>
      </c>
      <c r="G99" s="80">
        <v>4660</v>
      </c>
      <c r="H99" s="80">
        <v>4540</v>
      </c>
      <c r="I99" s="80">
        <v>4660</v>
      </c>
      <c r="J99" s="80">
        <v>5000</v>
      </c>
      <c r="K99" s="80">
        <v>4900</v>
      </c>
      <c r="L99" s="80">
        <v>5040</v>
      </c>
      <c r="M99" s="80">
        <v>5020</v>
      </c>
      <c r="N99" s="80">
        <v>5180</v>
      </c>
      <c r="O99" s="80">
        <v>5370</v>
      </c>
      <c r="P99" s="80">
        <v>5560</v>
      </c>
      <c r="Q99" s="80">
        <v>5350</v>
      </c>
      <c r="R99" s="80">
        <v>5480</v>
      </c>
      <c r="S99" s="80">
        <v>5510</v>
      </c>
      <c r="T99" s="80">
        <v>5620</v>
      </c>
      <c r="U99" s="80">
        <v>5950</v>
      </c>
      <c r="V99" s="80">
        <v>6340</v>
      </c>
      <c r="W99" s="80">
        <v>6670</v>
      </c>
      <c r="X99" s="80">
        <v>7080</v>
      </c>
      <c r="Y99" s="80">
        <v>7800</v>
      </c>
      <c r="Z99" s="80">
        <v>8520</v>
      </c>
      <c r="AA99" s="80">
        <v>8790</v>
      </c>
      <c r="AB99" s="80">
        <v>8010</v>
      </c>
      <c r="AC99" s="80">
        <v>9020</v>
      </c>
      <c r="AD99" s="80">
        <v>9690</v>
      </c>
      <c r="AE99" s="80">
        <v>10290</v>
      </c>
      <c r="AF99" s="80">
        <v>12270</v>
      </c>
      <c r="AG99" s="80">
        <v>12420</v>
      </c>
      <c r="AH99" s="80">
        <v>12430</v>
      </c>
      <c r="AI99" s="80">
        <v>12880</v>
      </c>
      <c r="AJ99" s="80">
        <v>12970</v>
      </c>
      <c r="AK99" s="80">
        <v>13470</v>
      </c>
      <c r="AL99" s="80">
        <v>13840</v>
      </c>
      <c r="AM99" s="80">
        <v>14610</v>
      </c>
      <c r="AN99" s="80">
        <v>15140</v>
      </c>
      <c r="AO99" s="80">
        <v>15720</v>
      </c>
      <c r="AP99" s="80">
        <v>16360</v>
      </c>
      <c r="AQ99" s="80">
        <v>16770</v>
      </c>
      <c r="AR99" s="80">
        <v>17690</v>
      </c>
      <c r="AS99" s="80">
        <v>18160</v>
      </c>
      <c r="AT99" s="80">
        <v>19160</v>
      </c>
      <c r="AU99" s="80">
        <v>19710</v>
      </c>
      <c r="AV99" s="80">
        <v>20060</v>
      </c>
      <c r="AW99" s="80">
        <v>19860</v>
      </c>
      <c r="AX99" s="80">
        <v>19370</v>
      </c>
      <c r="AY99" s="80">
        <v>19440</v>
      </c>
      <c r="AZ99" s="80">
        <v>19980</v>
      </c>
      <c r="BA99" s="80">
        <v>20340</v>
      </c>
      <c r="BB99" s="80">
        <v>20890</v>
      </c>
      <c r="BC99" s="80">
        <v>21070</v>
      </c>
      <c r="BD99" s="80">
        <v>22090</v>
      </c>
      <c r="BE99" s="80">
        <v>21800</v>
      </c>
      <c r="BF99" s="80">
        <v>21370</v>
      </c>
      <c r="BG99" s="80">
        <v>20860</v>
      </c>
      <c r="BH99" s="80">
        <v>20280</v>
      </c>
      <c r="BI99" s="80">
        <v>19550</v>
      </c>
      <c r="BJ99" s="80">
        <v>19810</v>
      </c>
      <c r="BK99" s="80">
        <v>19710</v>
      </c>
      <c r="BL99" s="80">
        <v>20560</v>
      </c>
    </row>
    <row r="100" spans="1:64" x14ac:dyDescent="0.2">
      <c r="A100" s="28" t="s">
        <v>3</v>
      </c>
      <c r="B100" s="80">
        <v>14040</v>
      </c>
      <c r="C100" s="80">
        <v>14320</v>
      </c>
      <c r="D100" s="80">
        <v>14710</v>
      </c>
      <c r="E100" s="80">
        <v>14850</v>
      </c>
      <c r="F100" s="80">
        <v>15750</v>
      </c>
      <c r="G100" s="80">
        <v>16430</v>
      </c>
      <c r="H100" s="80">
        <v>17040</v>
      </c>
      <c r="I100" s="80">
        <v>17440</v>
      </c>
      <c r="J100" s="80">
        <v>18150</v>
      </c>
      <c r="K100" s="80">
        <v>18970</v>
      </c>
      <c r="L100" s="80">
        <v>19460</v>
      </c>
      <c r="M100" s="80">
        <v>20120</v>
      </c>
      <c r="N100" s="80">
        <v>20650</v>
      </c>
      <c r="O100" s="80">
        <v>21240</v>
      </c>
      <c r="P100" s="80">
        <v>21830</v>
      </c>
      <c r="Q100" s="80">
        <v>22550</v>
      </c>
      <c r="R100" s="80">
        <v>22980</v>
      </c>
      <c r="S100" s="80">
        <v>23380</v>
      </c>
      <c r="T100" s="80">
        <v>23820</v>
      </c>
      <c r="U100" s="80">
        <v>24240</v>
      </c>
      <c r="V100" s="80">
        <v>24990</v>
      </c>
      <c r="W100" s="80">
        <v>25880</v>
      </c>
      <c r="X100" s="80">
        <v>26920</v>
      </c>
      <c r="Y100" s="80">
        <v>28300</v>
      </c>
      <c r="Z100" s="80">
        <v>30020</v>
      </c>
      <c r="AA100" s="80">
        <v>32220</v>
      </c>
      <c r="AB100" s="80">
        <v>34260</v>
      </c>
      <c r="AC100" s="80">
        <v>35330</v>
      </c>
      <c r="AD100" s="80">
        <v>37120</v>
      </c>
      <c r="AE100" s="80">
        <v>39170</v>
      </c>
      <c r="AF100" s="80">
        <v>41490</v>
      </c>
      <c r="AG100" s="80">
        <v>45190</v>
      </c>
      <c r="AH100" s="80">
        <v>48580</v>
      </c>
      <c r="AI100" s="80">
        <v>51330</v>
      </c>
      <c r="AJ100" s="80">
        <v>54090</v>
      </c>
      <c r="AK100" s="80">
        <v>56490</v>
      </c>
      <c r="AL100" s="80">
        <v>58930</v>
      </c>
      <c r="AM100" s="80">
        <v>61330</v>
      </c>
      <c r="AN100" s="80">
        <v>63960</v>
      </c>
      <c r="AO100" s="80">
        <v>66590</v>
      </c>
      <c r="AP100" s="80">
        <v>69490</v>
      </c>
      <c r="AQ100" s="80">
        <v>72390</v>
      </c>
      <c r="AR100" s="80">
        <v>75220</v>
      </c>
      <c r="AS100" s="80">
        <v>78500</v>
      </c>
      <c r="AT100" s="80">
        <v>81790</v>
      </c>
      <c r="AU100" s="80">
        <v>85360</v>
      </c>
      <c r="AV100" s="80">
        <v>89050</v>
      </c>
      <c r="AW100" s="80">
        <v>92440</v>
      </c>
      <c r="AX100" s="80">
        <v>95160</v>
      </c>
      <c r="AY100" s="80">
        <v>96940</v>
      </c>
      <c r="AZ100" s="80">
        <v>98450</v>
      </c>
      <c r="BA100" s="80">
        <v>100180</v>
      </c>
      <c r="BB100" s="80">
        <v>101970</v>
      </c>
      <c r="BC100" s="80">
        <v>104020</v>
      </c>
      <c r="BD100" s="80">
        <v>105850</v>
      </c>
      <c r="BE100" s="80">
        <v>108510</v>
      </c>
      <c r="BF100" s="80">
        <v>110450</v>
      </c>
      <c r="BG100" s="80">
        <v>111850</v>
      </c>
      <c r="BH100" s="80">
        <v>112540</v>
      </c>
      <c r="BI100" s="80">
        <v>112520</v>
      </c>
      <c r="BJ100" s="80">
        <v>111840</v>
      </c>
      <c r="BK100" s="80">
        <v>111450</v>
      </c>
      <c r="BL100" s="80">
        <v>111050</v>
      </c>
    </row>
    <row r="101" spans="1:64" x14ac:dyDescent="0.2">
      <c r="A101" s="72" t="s">
        <v>4</v>
      </c>
      <c r="B101" s="80">
        <f t="shared" ref="B101:BL101" si="2">SUM(B$10:B$100)</f>
        <v>2136250</v>
      </c>
      <c r="C101" s="80">
        <f t="shared" si="2"/>
        <v>2157370</v>
      </c>
      <c r="D101" s="80">
        <f t="shared" si="2"/>
        <v>2176330</v>
      </c>
      <c r="E101" s="80">
        <f t="shared" si="2"/>
        <v>2197940</v>
      </c>
      <c r="F101" s="80">
        <f t="shared" si="2"/>
        <v>2222920</v>
      </c>
      <c r="G101" s="80">
        <f t="shared" si="2"/>
        <v>2240410</v>
      </c>
      <c r="H101" s="80">
        <f t="shared" si="2"/>
        <v>2253000</v>
      </c>
      <c r="I101" s="80">
        <f t="shared" si="2"/>
        <v>2269940</v>
      </c>
      <c r="J101" s="80">
        <f t="shared" si="2"/>
        <v>2300150</v>
      </c>
      <c r="K101" s="80">
        <f t="shared" si="2"/>
        <v>2338550</v>
      </c>
      <c r="L101" s="80">
        <f t="shared" si="2"/>
        <v>2384160</v>
      </c>
      <c r="M101" s="80">
        <f t="shared" si="2"/>
        <v>2425550</v>
      </c>
      <c r="N101" s="80">
        <f t="shared" si="2"/>
        <v>2463610</v>
      </c>
      <c r="O101" s="80">
        <f t="shared" si="2"/>
        <v>2498170</v>
      </c>
      <c r="P101" s="80">
        <f t="shared" si="2"/>
        <v>2528960</v>
      </c>
      <c r="Q101" s="80">
        <f t="shared" si="2"/>
        <v>2556140</v>
      </c>
      <c r="R101" s="80">
        <f t="shared" si="2"/>
        <v>2579330</v>
      </c>
      <c r="S101" s="80">
        <f t="shared" si="2"/>
        <v>2602420</v>
      </c>
      <c r="T101" s="80">
        <f t="shared" si="2"/>
        <v>2625340</v>
      </c>
      <c r="U101" s="80">
        <f t="shared" si="2"/>
        <v>2648040</v>
      </c>
      <c r="V101" s="80">
        <f t="shared" si="2"/>
        <v>2670520</v>
      </c>
      <c r="W101" s="80">
        <f t="shared" si="2"/>
        <v>2692450</v>
      </c>
      <c r="X101" s="80">
        <f t="shared" si="2"/>
        <v>2713930</v>
      </c>
      <c r="Y101" s="80">
        <f t="shared" si="2"/>
        <v>2734980</v>
      </c>
      <c r="Z101" s="80">
        <f t="shared" si="2"/>
        <v>2755310</v>
      </c>
      <c r="AA101" s="80">
        <f t="shared" si="2"/>
        <v>2775070</v>
      </c>
      <c r="AB101" s="80">
        <f t="shared" si="2"/>
        <v>2794060</v>
      </c>
      <c r="AC101" s="80">
        <f t="shared" si="2"/>
        <v>2812450</v>
      </c>
      <c r="AD101" s="80">
        <f t="shared" si="2"/>
        <v>2830190</v>
      </c>
      <c r="AE101" s="80">
        <f t="shared" si="2"/>
        <v>2847280</v>
      </c>
      <c r="AF101" s="80">
        <f t="shared" si="2"/>
        <v>2863810</v>
      </c>
      <c r="AG101" s="80">
        <f t="shared" si="2"/>
        <v>2879770</v>
      </c>
      <c r="AH101" s="80">
        <f t="shared" si="2"/>
        <v>2895250</v>
      </c>
      <c r="AI101" s="80">
        <f t="shared" si="2"/>
        <v>2910100</v>
      </c>
      <c r="AJ101" s="80">
        <f t="shared" si="2"/>
        <v>2924680</v>
      </c>
      <c r="AK101" s="80">
        <f t="shared" si="2"/>
        <v>2938740</v>
      </c>
      <c r="AL101" s="80">
        <f t="shared" si="2"/>
        <v>2952460</v>
      </c>
      <c r="AM101" s="80">
        <f t="shared" si="2"/>
        <v>2965890</v>
      </c>
      <c r="AN101" s="80">
        <f t="shared" si="2"/>
        <v>2978850</v>
      </c>
      <c r="AO101" s="80">
        <f t="shared" si="2"/>
        <v>2991280</v>
      </c>
      <c r="AP101" s="80">
        <f t="shared" si="2"/>
        <v>3003510</v>
      </c>
      <c r="AQ101" s="80">
        <f t="shared" si="2"/>
        <v>3015270</v>
      </c>
      <c r="AR101" s="80">
        <f t="shared" si="2"/>
        <v>3026740</v>
      </c>
      <c r="AS101" s="80">
        <f t="shared" si="2"/>
        <v>3037880</v>
      </c>
      <c r="AT101" s="80">
        <f t="shared" si="2"/>
        <v>3048730</v>
      </c>
      <c r="AU101" s="80">
        <f t="shared" si="2"/>
        <v>3059130</v>
      </c>
      <c r="AV101" s="80">
        <f t="shared" si="2"/>
        <v>3069390</v>
      </c>
      <c r="AW101" s="80">
        <f t="shared" si="2"/>
        <v>3079230</v>
      </c>
      <c r="AX101" s="80">
        <f t="shared" si="2"/>
        <v>3088910</v>
      </c>
      <c r="AY101" s="80">
        <f t="shared" si="2"/>
        <v>3098280</v>
      </c>
      <c r="AZ101" s="80">
        <f t="shared" si="2"/>
        <v>3107550</v>
      </c>
      <c r="BA101" s="80">
        <f t="shared" si="2"/>
        <v>3116610</v>
      </c>
      <c r="BB101" s="80">
        <f t="shared" si="2"/>
        <v>3125500</v>
      </c>
      <c r="BC101" s="80">
        <f t="shared" si="2"/>
        <v>3134260</v>
      </c>
      <c r="BD101" s="80">
        <f t="shared" si="2"/>
        <v>3142900</v>
      </c>
      <c r="BE101" s="80">
        <f t="shared" si="2"/>
        <v>3151460</v>
      </c>
      <c r="BF101" s="80">
        <f t="shared" si="2"/>
        <v>3159870</v>
      </c>
      <c r="BG101" s="80">
        <f t="shared" si="2"/>
        <v>3168230</v>
      </c>
      <c r="BH101" s="80">
        <f t="shared" si="2"/>
        <v>3176480</v>
      </c>
      <c r="BI101" s="80">
        <f t="shared" si="2"/>
        <v>3184750</v>
      </c>
      <c r="BJ101" s="80">
        <f t="shared" si="2"/>
        <v>3193020</v>
      </c>
      <c r="BK101" s="80">
        <f t="shared" si="2"/>
        <v>3201250</v>
      </c>
      <c r="BL101" s="80">
        <f t="shared" si="2"/>
        <v>3209550</v>
      </c>
    </row>
    <row r="102" spans="1:64" x14ac:dyDescent="0.2">
      <c r="A102" s="72"/>
      <c r="B102" s="80"/>
      <c r="C102" s="80"/>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c r="AV102" s="80"/>
      <c r="AW102" s="80"/>
      <c r="AX102" s="80"/>
      <c r="AY102" s="80"/>
      <c r="AZ102" s="80"/>
      <c r="BA102" s="80"/>
      <c r="BB102" s="80"/>
      <c r="BC102" s="80"/>
      <c r="BD102" s="80"/>
      <c r="BE102" s="80"/>
      <c r="BF102" s="80"/>
      <c r="BG102" s="80"/>
      <c r="BH102" s="80"/>
      <c r="BI102" s="80"/>
      <c r="BJ102" s="80"/>
      <c r="BK102" s="80"/>
      <c r="BL102" s="80"/>
    </row>
    <row r="103" spans="1:64" x14ac:dyDescent="0.2">
      <c r="G103" s="72" t="s">
        <v>78</v>
      </c>
      <c r="K103" s="85">
        <v>83.9</v>
      </c>
      <c r="L103" s="85">
        <v>84.1</v>
      </c>
      <c r="M103" s="85">
        <v>84.3</v>
      </c>
      <c r="N103" s="85">
        <v>84.5</v>
      </c>
      <c r="O103" s="85">
        <v>84.7</v>
      </c>
      <c r="P103" s="85">
        <v>84.9</v>
      </c>
      <c r="Q103" s="85">
        <v>85.1</v>
      </c>
      <c r="R103" s="85">
        <v>85.3</v>
      </c>
      <c r="S103" s="85">
        <v>85.5</v>
      </c>
      <c r="T103" s="85">
        <v>85.7</v>
      </c>
      <c r="U103" s="85">
        <v>85.9</v>
      </c>
      <c r="V103" s="85">
        <v>86</v>
      </c>
      <c r="W103" s="85">
        <v>86.2</v>
      </c>
      <c r="X103" s="85">
        <v>86.4</v>
      </c>
      <c r="Y103" s="85">
        <v>86.6</v>
      </c>
      <c r="Z103" s="85">
        <v>86.7</v>
      </c>
      <c r="AA103" s="85">
        <v>86.9</v>
      </c>
      <c r="AB103" s="85">
        <v>87</v>
      </c>
      <c r="AC103" s="85">
        <v>87.2</v>
      </c>
      <c r="AD103" s="85">
        <v>87.4</v>
      </c>
      <c r="AE103" s="85">
        <v>87.5</v>
      </c>
      <c r="AF103" s="85">
        <v>87.7</v>
      </c>
      <c r="AG103" s="85">
        <v>87.8</v>
      </c>
      <c r="AH103" s="85">
        <v>88</v>
      </c>
      <c r="AI103" s="85">
        <v>88.1</v>
      </c>
      <c r="AJ103" s="85">
        <v>88.3</v>
      </c>
      <c r="AK103" s="85">
        <v>88.4</v>
      </c>
      <c r="AL103" s="85">
        <v>88.5</v>
      </c>
      <c r="AM103" s="85">
        <v>88.7</v>
      </c>
      <c r="AN103" s="85">
        <v>88.8</v>
      </c>
      <c r="AO103" s="85">
        <v>88.9</v>
      </c>
      <c r="AP103" s="85">
        <v>89.1</v>
      </c>
      <c r="AQ103" s="85">
        <v>89.2</v>
      </c>
      <c r="AR103" s="85">
        <v>89.3</v>
      </c>
      <c r="AS103" s="85">
        <v>89.5</v>
      </c>
      <c r="AT103" s="85">
        <v>89.6</v>
      </c>
      <c r="AU103" s="85">
        <v>89.7</v>
      </c>
      <c r="AV103" s="85">
        <v>89.8</v>
      </c>
      <c r="AW103" s="85">
        <v>89.9</v>
      </c>
      <c r="AX103" s="85">
        <v>90.1</v>
      </c>
      <c r="AY103" s="85">
        <v>90.2</v>
      </c>
      <c r="AZ103" s="85">
        <v>90.3</v>
      </c>
      <c r="BA103" s="85">
        <v>90.4</v>
      </c>
      <c r="BB103" s="85">
        <v>90.5</v>
      </c>
      <c r="BC103" s="85">
        <v>90.6</v>
      </c>
      <c r="BD103" s="85">
        <v>90.7</v>
      </c>
      <c r="BE103" s="85">
        <v>90.8</v>
      </c>
      <c r="BF103" s="85">
        <v>90.9</v>
      </c>
      <c r="BG103" s="85">
        <v>91</v>
      </c>
      <c r="BH103" s="85">
        <v>91.1</v>
      </c>
      <c r="BI103" s="85">
        <v>91.2</v>
      </c>
      <c r="BJ103" s="85">
        <v>91.3</v>
      </c>
      <c r="BK103" s="85">
        <v>91.4</v>
      </c>
      <c r="BL103" s="85">
        <v>91.5</v>
      </c>
    </row>
    <row r="104" spans="1:64" x14ac:dyDescent="0.2">
      <c r="G104" s="72" t="s">
        <v>79</v>
      </c>
      <c r="K104" s="85">
        <v>21.9</v>
      </c>
      <c r="L104" s="85">
        <v>22.1</v>
      </c>
      <c r="M104" s="85">
        <v>22.2</v>
      </c>
      <c r="N104" s="85">
        <v>22.3</v>
      </c>
      <c r="O104" s="85">
        <v>22.5</v>
      </c>
      <c r="P104" s="85">
        <v>22.6</v>
      </c>
      <c r="Q104" s="85">
        <v>22.7</v>
      </c>
      <c r="R104" s="85">
        <v>22.9</v>
      </c>
      <c r="S104" s="85">
        <v>23</v>
      </c>
      <c r="T104" s="85">
        <v>23.1</v>
      </c>
      <c r="U104" s="85">
        <v>23.3</v>
      </c>
      <c r="V104" s="85">
        <v>23.4</v>
      </c>
      <c r="W104" s="85">
        <v>23.5</v>
      </c>
      <c r="X104" s="85">
        <v>23.6</v>
      </c>
      <c r="Y104" s="85">
        <v>23.7</v>
      </c>
      <c r="Z104" s="85">
        <v>23.9</v>
      </c>
      <c r="AA104" s="85">
        <v>24</v>
      </c>
      <c r="AB104" s="85">
        <v>24.1</v>
      </c>
      <c r="AC104" s="85">
        <v>24.2</v>
      </c>
      <c r="AD104" s="85">
        <v>24.3</v>
      </c>
      <c r="AE104" s="85">
        <v>24.4</v>
      </c>
      <c r="AF104" s="85">
        <v>24.5</v>
      </c>
      <c r="AG104" s="85">
        <v>24.6</v>
      </c>
      <c r="AH104" s="85">
        <v>24.7</v>
      </c>
      <c r="AI104" s="85">
        <v>24.8</v>
      </c>
      <c r="AJ104" s="85">
        <v>25</v>
      </c>
      <c r="AK104" s="85">
        <v>25.1</v>
      </c>
      <c r="AL104" s="85">
        <v>25.2</v>
      </c>
      <c r="AM104" s="85">
        <v>25.3</v>
      </c>
      <c r="AN104" s="85">
        <v>25.4</v>
      </c>
      <c r="AO104" s="85">
        <v>25.5</v>
      </c>
      <c r="AP104" s="85">
        <v>25.6</v>
      </c>
      <c r="AQ104" s="85">
        <v>25.6</v>
      </c>
      <c r="AR104" s="85">
        <v>25.7</v>
      </c>
      <c r="AS104" s="85">
        <v>25.8</v>
      </c>
      <c r="AT104" s="85">
        <v>25.9</v>
      </c>
      <c r="AU104" s="85">
        <v>26</v>
      </c>
      <c r="AV104" s="85">
        <v>26.1</v>
      </c>
      <c r="AW104" s="85">
        <v>26.2</v>
      </c>
      <c r="AX104" s="85">
        <v>26.3</v>
      </c>
      <c r="AY104" s="85">
        <v>26.4</v>
      </c>
      <c r="AZ104" s="85">
        <v>26.5</v>
      </c>
      <c r="BA104" s="85">
        <v>26.5</v>
      </c>
      <c r="BB104" s="85">
        <v>26.6</v>
      </c>
      <c r="BC104" s="85">
        <v>26.7</v>
      </c>
      <c r="BD104" s="85">
        <v>26.8</v>
      </c>
      <c r="BE104" s="85">
        <v>26.9</v>
      </c>
      <c r="BF104" s="85">
        <v>27</v>
      </c>
      <c r="BG104" s="85">
        <v>27</v>
      </c>
      <c r="BH104" s="85">
        <v>27.1</v>
      </c>
      <c r="BI104" s="85">
        <v>27.2</v>
      </c>
      <c r="BJ104" s="85">
        <v>27.3</v>
      </c>
      <c r="BK104" s="85">
        <v>27.4</v>
      </c>
      <c r="BL104" s="85">
        <v>27.4</v>
      </c>
    </row>
    <row r="108" spans="1:64" x14ac:dyDescent="0.2">
      <c r="A108" s="72" t="s">
        <v>9</v>
      </c>
    </row>
    <row r="109" spans="1:64" x14ac:dyDescent="0.2">
      <c r="A109" s="72" t="s">
        <v>1172</v>
      </c>
    </row>
    <row r="110" spans="1:64" x14ac:dyDescent="0.2">
      <c r="A110" s="28">
        <v>0</v>
      </c>
      <c r="B110" s="80">
        <v>30150</v>
      </c>
      <c r="C110" s="80">
        <v>31900</v>
      </c>
      <c r="D110" s="80">
        <v>33050</v>
      </c>
      <c r="E110" s="80">
        <v>33060</v>
      </c>
      <c r="F110" s="80">
        <v>33020</v>
      </c>
      <c r="G110" s="80">
        <v>32130</v>
      </c>
      <c r="H110" s="80">
        <v>31320</v>
      </c>
      <c r="I110" s="80">
        <v>30890</v>
      </c>
      <c r="J110" s="80">
        <v>30330</v>
      </c>
      <c r="K110" s="80">
        <v>30440</v>
      </c>
      <c r="L110" s="28">
        <v>30590</v>
      </c>
      <c r="M110" s="28">
        <v>31270</v>
      </c>
      <c r="N110" s="28">
        <v>32080</v>
      </c>
      <c r="O110" s="28">
        <v>32790</v>
      </c>
      <c r="P110" s="28">
        <v>33360</v>
      </c>
      <c r="Q110" s="28">
        <v>33770</v>
      </c>
      <c r="R110" s="28">
        <v>34020</v>
      </c>
      <c r="S110" s="28">
        <v>34160</v>
      </c>
      <c r="T110" s="28">
        <v>34240</v>
      </c>
      <c r="U110" s="28">
        <v>34240</v>
      </c>
      <c r="V110" s="28">
        <v>34170</v>
      </c>
      <c r="W110" s="28">
        <v>34050</v>
      </c>
      <c r="X110" s="28">
        <v>33890</v>
      </c>
      <c r="Y110" s="28">
        <v>33680</v>
      </c>
      <c r="Z110" s="28">
        <v>33450</v>
      </c>
      <c r="AA110" s="28">
        <v>33200</v>
      </c>
      <c r="AB110" s="28">
        <v>32960</v>
      </c>
      <c r="AC110" s="28">
        <v>32730</v>
      </c>
      <c r="AD110" s="28">
        <v>32540</v>
      </c>
      <c r="AE110" s="28">
        <v>32390</v>
      </c>
      <c r="AF110" s="28">
        <v>32290</v>
      </c>
      <c r="AG110" s="28">
        <v>32250</v>
      </c>
      <c r="AH110" s="28">
        <v>32260</v>
      </c>
      <c r="AI110" s="28">
        <v>32300</v>
      </c>
      <c r="AJ110" s="28">
        <v>32380</v>
      </c>
      <c r="AK110" s="28">
        <v>32470</v>
      </c>
      <c r="AL110" s="28">
        <v>32570</v>
      </c>
      <c r="AM110" s="28">
        <v>32680</v>
      </c>
      <c r="AN110" s="28">
        <v>32780</v>
      </c>
      <c r="AO110" s="28">
        <v>32870</v>
      </c>
      <c r="AP110" s="28">
        <v>32960</v>
      </c>
      <c r="AQ110" s="28">
        <v>33050</v>
      </c>
      <c r="AR110" s="28">
        <v>33130</v>
      </c>
      <c r="AS110" s="28">
        <v>33210</v>
      </c>
      <c r="AT110" s="28">
        <v>33290</v>
      </c>
      <c r="AU110" s="28">
        <v>33370</v>
      </c>
      <c r="AV110" s="28">
        <v>33450</v>
      </c>
      <c r="AW110" s="28">
        <v>33520</v>
      </c>
      <c r="AX110" s="28">
        <v>33580</v>
      </c>
      <c r="AY110" s="28">
        <v>33640</v>
      </c>
      <c r="AZ110" s="28">
        <v>33670</v>
      </c>
      <c r="BA110" s="28">
        <v>33690</v>
      </c>
      <c r="BB110" s="28">
        <v>33690</v>
      </c>
      <c r="BC110" s="28">
        <v>33670</v>
      </c>
      <c r="BD110" s="28">
        <v>33630</v>
      </c>
      <c r="BE110" s="28">
        <v>33580</v>
      </c>
      <c r="BF110" s="28">
        <v>33510</v>
      </c>
      <c r="BG110" s="28">
        <v>33440</v>
      </c>
      <c r="BH110" s="28">
        <v>33370</v>
      </c>
      <c r="BI110" s="28">
        <v>33300</v>
      </c>
      <c r="BJ110" s="28">
        <v>33230</v>
      </c>
      <c r="BK110" s="28">
        <v>33180</v>
      </c>
      <c r="BL110" s="28">
        <v>33140</v>
      </c>
    </row>
    <row r="111" spans="1:64" x14ac:dyDescent="0.2">
      <c r="A111" s="28">
        <v>1</v>
      </c>
      <c r="B111" s="80">
        <v>29380</v>
      </c>
      <c r="C111" s="80">
        <v>30170</v>
      </c>
      <c r="D111" s="80">
        <v>31780</v>
      </c>
      <c r="E111" s="80">
        <v>32980</v>
      </c>
      <c r="F111" s="80">
        <v>33130</v>
      </c>
      <c r="G111" s="80">
        <v>33060</v>
      </c>
      <c r="H111" s="80">
        <v>32050</v>
      </c>
      <c r="I111" s="80">
        <v>31410</v>
      </c>
      <c r="J111" s="80">
        <v>31070</v>
      </c>
      <c r="K111" s="80">
        <v>30580</v>
      </c>
      <c r="L111" s="28">
        <v>30800</v>
      </c>
      <c r="M111" s="28">
        <v>30850</v>
      </c>
      <c r="N111" s="28">
        <v>31490</v>
      </c>
      <c r="O111" s="28">
        <v>32260</v>
      </c>
      <c r="P111" s="28">
        <v>32910</v>
      </c>
      <c r="Q111" s="28">
        <v>33440</v>
      </c>
      <c r="R111" s="28">
        <v>33810</v>
      </c>
      <c r="S111" s="28">
        <v>34050</v>
      </c>
      <c r="T111" s="28">
        <v>34200</v>
      </c>
      <c r="U111" s="28">
        <v>34270</v>
      </c>
      <c r="V111" s="28">
        <v>34270</v>
      </c>
      <c r="W111" s="28">
        <v>34210</v>
      </c>
      <c r="X111" s="28">
        <v>34090</v>
      </c>
      <c r="Y111" s="28">
        <v>33920</v>
      </c>
      <c r="Z111" s="28">
        <v>33720</v>
      </c>
      <c r="AA111" s="28">
        <v>33490</v>
      </c>
      <c r="AB111" s="28">
        <v>33240</v>
      </c>
      <c r="AC111" s="28">
        <v>33000</v>
      </c>
      <c r="AD111" s="28">
        <v>32770</v>
      </c>
      <c r="AE111" s="28">
        <v>32580</v>
      </c>
      <c r="AF111" s="28">
        <v>32430</v>
      </c>
      <c r="AG111" s="28">
        <v>32340</v>
      </c>
      <c r="AH111" s="28">
        <v>32300</v>
      </c>
      <c r="AI111" s="28">
        <v>32300</v>
      </c>
      <c r="AJ111" s="28">
        <v>32350</v>
      </c>
      <c r="AK111" s="28">
        <v>32420</v>
      </c>
      <c r="AL111" s="28">
        <v>32520</v>
      </c>
      <c r="AM111" s="28">
        <v>32620</v>
      </c>
      <c r="AN111" s="28">
        <v>32720</v>
      </c>
      <c r="AO111" s="28">
        <v>32820</v>
      </c>
      <c r="AP111" s="28">
        <v>32920</v>
      </c>
      <c r="AQ111" s="28">
        <v>33010</v>
      </c>
      <c r="AR111" s="28">
        <v>33100</v>
      </c>
      <c r="AS111" s="28">
        <v>33180</v>
      </c>
      <c r="AT111" s="28">
        <v>33260</v>
      </c>
      <c r="AU111" s="28">
        <v>33340</v>
      </c>
      <c r="AV111" s="28">
        <v>33420</v>
      </c>
      <c r="AW111" s="28">
        <v>33500</v>
      </c>
      <c r="AX111" s="28">
        <v>33570</v>
      </c>
      <c r="AY111" s="28">
        <v>33630</v>
      </c>
      <c r="AZ111" s="28">
        <v>33690</v>
      </c>
      <c r="BA111" s="28">
        <v>33720</v>
      </c>
      <c r="BB111" s="28">
        <v>33740</v>
      </c>
      <c r="BC111" s="28">
        <v>33740</v>
      </c>
      <c r="BD111" s="28">
        <v>33720</v>
      </c>
      <c r="BE111" s="28">
        <v>33680</v>
      </c>
      <c r="BF111" s="28">
        <v>33630</v>
      </c>
      <c r="BG111" s="28">
        <v>33560</v>
      </c>
      <c r="BH111" s="28">
        <v>33490</v>
      </c>
      <c r="BI111" s="28">
        <v>33420</v>
      </c>
      <c r="BJ111" s="28">
        <v>33350</v>
      </c>
      <c r="BK111" s="28">
        <v>33290</v>
      </c>
      <c r="BL111" s="28">
        <v>33230</v>
      </c>
    </row>
    <row r="112" spans="1:64" x14ac:dyDescent="0.2">
      <c r="A112" s="28">
        <v>2</v>
      </c>
      <c r="B112" s="80">
        <v>29510</v>
      </c>
      <c r="C112" s="80">
        <v>29490</v>
      </c>
      <c r="D112" s="80">
        <v>30170</v>
      </c>
      <c r="E112" s="80">
        <v>31800</v>
      </c>
      <c r="F112" s="80">
        <v>33070</v>
      </c>
      <c r="G112" s="80">
        <v>33070</v>
      </c>
      <c r="H112" s="80">
        <v>32930</v>
      </c>
      <c r="I112" s="80">
        <v>31970</v>
      </c>
      <c r="J112" s="80">
        <v>31630</v>
      </c>
      <c r="K112" s="80">
        <v>31410</v>
      </c>
      <c r="L112" s="28">
        <v>31000</v>
      </c>
      <c r="M112" s="28">
        <v>31130</v>
      </c>
      <c r="N112" s="28">
        <v>31130</v>
      </c>
      <c r="O112" s="28">
        <v>31710</v>
      </c>
      <c r="P112" s="28">
        <v>32430</v>
      </c>
      <c r="Q112" s="28">
        <v>33030</v>
      </c>
      <c r="R112" s="28">
        <v>33500</v>
      </c>
      <c r="S112" s="28">
        <v>33870</v>
      </c>
      <c r="T112" s="28">
        <v>34120</v>
      </c>
      <c r="U112" s="28">
        <v>34260</v>
      </c>
      <c r="V112" s="28">
        <v>34330</v>
      </c>
      <c r="W112" s="28">
        <v>34340</v>
      </c>
      <c r="X112" s="28">
        <v>34270</v>
      </c>
      <c r="Y112" s="28">
        <v>34150</v>
      </c>
      <c r="Z112" s="28">
        <v>33990</v>
      </c>
      <c r="AA112" s="28">
        <v>33780</v>
      </c>
      <c r="AB112" s="28">
        <v>33550</v>
      </c>
      <c r="AC112" s="28">
        <v>33310</v>
      </c>
      <c r="AD112" s="28">
        <v>33060</v>
      </c>
      <c r="AE112" s="28">
        <v>32840</v>
      </c>
      <c r="AF112" s="28">
        <v>32650</v>
      </c>
      <c r="AG112" s="28">
        <v>32500</v>
      </c>
      <c r="AH112" s="28">
        <v>32400</v>
      </c>
      <c r="AI112" s="28">
        <v>32360</v>
      </c>
      <c r="AJ112" s="28">
        <v>32370</v>
      </c>
      <c r="AK112" s="28">
        <v>32420</v>
      </c>
      <c r="AL112" s="28">
        <v>32490</v>
      </c>
      <c r="AM112" s="28">
        <v>32580</v>
      </c>
      <c r="AN112" s="28">
        <v>32690</v>
      </c>
      <c r="AO112" s="28">
        <v>32790</v>
      </c>
      <c r="AP112" s="28">
        <v>32890</v>
      </c>
      <c r="AQ112" s="28">
        <v>32990</v>
      </c>
      <c r="AR112" s="28">
        <v>33080</v>
      </c>
      <c r="AS112" s="28">
        <v>33160</v>
      </c>
      <c r="AT112" s="28">
        <v>33250</v>
      </c>
      <c r="AU112" s="28">
        <v>33330</v>
      </c>
      <c r="AV112" s="28">
        <v>33410</v>
      </c>
      <c r="AW112" s="28">
        <v>33490</v>
      </c>
      <c r="AX112" s="28">
        <v>33560</v>
      </c>
      <c r="AY112" s="28">
        <v>33640</v>
      </c>
      <c r="AZ112" s="28">
        <v>33700</v>
      </c>
      <c r="BA112" s="28">
        <v>33750</v>
      </c>
      <c r="BB112" s="28">
        <v>33790</v>
      </c>
      <c r="BC112" s="28">
        <v>33810</v>
      </c>
      <c r="BD112" s="28">
        <v>33810</v>
      </c>
      <c r="BE112" s="28">
        <v>33790</v>
      </c>
      <c r="BF112" s="28">
        <v>33750</v>
      </c>
      <c r="BG112" s="28">
        <v>33700</v>
      </c>
      <c r="BH112" s="28">
        <v>33630</v>
      </c>
      <c r="BI112" s="28">
        <v>33560</v>
      </c>
      <c r="BJ112" s="28">
        <v>33490</v>
      </c>
      <c r="BK112" s="28">
        <v>33420</v>
      </c>
      <c r="BL112" s="28">
        <v>33360</v>
      </c>
    </row>
    <row r="113" spans="1:64" x14ac:dyDescent="0.2">
      <c r="A113" s="28">
        <v>3</v>
      </c>
      <c r="B113" s="80">
        <v>28800</v>
      </c>
      <c r="C113" s="80">
        <v>29680</v>
      </c>
      <c r="D113" s="80">
        <v>29550</v>
      </c>
      <c r="E113" s="80">
        <v>30280</v>
      </c>
      <c r="F113" s="80">
        <v>31860</v>
      </c>
      <c r="G113" s="80">
        <v>32950</v>
      </c>
      <c r="H113" s="80">
        <v>32970</v>
      </c>
      <c r="I113" s="80">
        <v>32960</v>
      </c>
      <c r="J113" s="80">
        <v>32190</v>
      </c>
      <c r="K113" s="80">
        <v>31930</v>
      </c>
      <c r="L113" s="28">
        <v>31840</v>
      </c>
      <c r="M113" s="28">
        <v>31340</v>
      </c>
      <c r="N113" s="28">
        <v>31420</v>
      </c>
      <c r="O113" s="28">
        <v>31360</v>
      </c>
      <c r="P113" s="28">
        <v>31890</v>
      </c>
      <c r="Q113" s="28">
        <v>32560</v>
      </c>
      <c r="R113" s="28">
        <v>33110</v>
      </c>
      <c r="S113" s="28">
        <v>33580</v>
      </c>
      <c r="T113" s="28">
        <v>33950</v>
      </c>
      <c r="U113" s="28">
        <v>34190</v>
      </c>
      <c r="V113" s="28">
        <v>34340</v>
      </c>
      <c r="W113" s="28">
        <v>34410</v>
      </c>
      <c r="X113" s="28">
        <v>34410</v>
      </c>
      <c r="Y113" s="28">
        <v>34350</v>
      </c>
      <c r="Z113" s="28">
        <v>34230</v>
      </c>
      <c r="AA113" s="28">
        <v>34070</v>
      </c>
      <c r="AB113" s="28">
        <v>33860</v>
      </c>
      <c r="AC113" s="28">
        <v>33630</v>
      </c>
      <c r="AD113" s="28">
        <v>33390</v>
      </c>
      <c r="AE113" s="28">
        <v>33140</v>
      </c>
      <c r="AF113" s="28">
        <v>32920</v>
      </c>
      <c r="AG113" s="28">
        <v>32730</v>
      </c>
      <c r="AH113" s="28">
        <v>32580</v>
      </c>
      <c r="AI113" s="28">
        <v>32490</v>
      </c>
      <c r="AJ113" s="28">
        <v>32440</v>
      </c>
      <c r="AK113" s="28">
        <v>32450</v>
      </c>
      <c r="AL113" s="28">
        <v>32500</v>
      </c>
      <c r="AM113" s="28">
        <v>32570</v>
      </c>
      <c r="AN113" s="28">
        <v>32670</v>
      </c>
      <c r="AO113" s="28">
        <v>32770</v>
      </c>
      <c r="AP113" s="28">
        <v>32870</v>
      </c>
      <c r="AQ113" s="28">
        <v>32970</v>
      </c>
      <c r="AR113" s="28">
        <v>33070</v>
      </c>
      <c r="AS113" s="28">
        <v>33160</v>
      </c>
      <c r="AT113" s="28">
        <v>33250</v>
      </c>
      <c r="AU113" s="28">
        <v>33330</v>
      </c>
      <c r="AV113" s="28">
        <v>33410</v>
      </c>
      <c r="AW113" s="28">
        <v>33490</v>
      </c>
      <c r="AX113" s="28">
        <v>33570</v>
      </c>
      <c r="AY113" s="28">
        <v>33650</v>
      </c>
      <c r="AZ113" s="28">
        <v>33720</v>
      </c>
      <c r="BA113" s="28">
        <v>33780</v>
      </c>
      <c r="BB113" s="28">
        <v>33840</v>
      </c>
      <c r="BC113" s="28">
        <v>33870</v>
      </c>
      <c r="BD113" s="28">
        <v>33890</v>
      </c>
      <c r="BE113" s="28">
        <v>33890</v>
      </c>
      <c r="BF113" s="28">
        <v>33870</v>
      </c>
      <c r="BG113" s="28">
        <v>33830</v>
      </c>
      <c r="BH113" s="28">
        <v>33780</v>
      </c>
      <c r="BI113" s="28">
        <v>33720</v>
      </c>
      <c r="BJ113" s="28">
        <v>33650</v>
      </c>
      <c r="BK113" s="28">
        <v>33570</v>
      </c>
      <c r="BL113" s="28">
        <v>33500</v>
      </c>
    </row>
    <row r="114" spans="1:64" x14ac:dyDescent="0.2">
      <c r="A114" s="28">
        <v>4</v>
      </c>
      <c r="B114" s="80">
        <v>28370</v>
      </c>
      <c r="C114" s="80">
        <v>28970</v>
      </c>
      <c r="D114" s="80">
        <v>29740</v>
      </c>
      <c r="E114" s="80">
        <v>29670</v>
      </c>
      <c r="F114" s="80">
        <v>30290</v>
      </c>
      <c r="G114" s="80">
        <v>31810</v>
      </c>
      <c r="H114" s="80">
        <v>32820</v>
      </c>
      <c r="I114" s="80">
        <v>32930</v>
      </c>
      <c r="J114" s="80">
        <v>33140</v>
      </c>
      <c r="K114" s="80">
        <v>32510</v>
      </c>
      <c r="L114" s="28">
        <v>32300</v>
      </c>
      <c r="M114" s="28">
        <v>32170</v>
      </c>
      <c r="N114" s="28">
        <v>31610</v>
      </c>
      <c r="O114" s="28">
        <v>31640</v>
      </c>
      <c r="P114" s="28">
        <v>31540</v>
      </c>
      <c r="Q114" s="28">
        <v>32020</v>
      </c>
      <c r="R114" s="28">
        <v>32640</v>
      </c>
      <c r="S114" s="28">
        <v>33190</v>
      </c>
      <c r="T114" s="28">
        <v>33660</v>
      </c>
      <c r="U114" s="28">
        <v>34030</v>
      </c>
      <c r="V114" s="28">
        <v>34280</v>
      </c>
      <c r="W114" s="28">
        <v>34420</v>
      </c>
      <c r="X114" s="28">
        <v>34500</v>
      </c>
      <c r="Y114" s="28">
        <v>34500</v>
      </c>
      <c r="Z114" s="28">
        <v>34430</v>
      </c>
      <c r="AA114" s="28">
        <v>34320</v>
      </c>
      <c r="AB114" s="28">
        <v>34150</v>
      </c>
      <c r="AC114" s="28">
        <v>33950</v>
      </c>
      <c r="AD114" s="28">
        <v>33710</v>
      </c>
      <c r="AE114" s="28">
        <v>33470</v>
      </c>
      <c r="AF114" s="28">
        <v>33230</v>
      </c>
      <c r="AG114" s="28">
        <v>33000</v>
      </c>
      <c r="AH114" s="28">
        <v>32810</v>
      </c>
      <c r="AI114" s="28">
        <v>32660</v>
      </c>
      <c r="AJ114" s="28">
        <v>32570</v>
      </c>
      <c r="AK114" s="28">
        <v>32530</v>
      </c>
      <c r="AL114" s="28">
        <v>32530</v>
      </c>
      <c r="AM114" s="28">
        <v>32580</v>
      </c>
      <c r="AN114" s="28">
        <v>32660</v>
      </c>
      <c r="AO114" s="28">
        <v>32750</v>
      </c>
      <c r="AP114" s="28">
        <v>32850</v>
      </c>
      <c r="AQ114" s="28">
        <v>32960</v>
      </c>
      <c r="AR114" s="28">
        <v>33060</v>
      </c>
      <c r="AS114" s="28">
        <v>33150</v>
      </c>
      <c r="AT114" s="28">
        <v>33240</v>
      </c>
      <c r="AU114" s="28">
        <v>33330</v>
      </c>
      <c r="AV114" s="28">
        <v>33410</v>
      </c>
      <c r="AW114" s="28">
        <v>33490</v>
      </c>
      <c r="AX114" s="28">
        <v>33570</v>
      </c>
      <c r="AY114" s="28">
        <v>33650</v>
      </c>
      <c r="AZ114" s="28">
        <v>33730</v>
      </c>
      <c r="BA114" s="28">
        <v>33800</v>
      </c>
      <c r="BB114" s="28">
        <v>33870</v>
      </c>
      <c r="BC114" s="28">
        <v>33920</v>
      </c>
      <c r="BD114" s="28">
        <v>33960</v>
      </c>
      <c r="BE114" s="28">
        <v>33980</v>
      </c>
      <c r="BF114" s="28">
        <v>33980</v>
      </c>
      <c r="BG114" s="28">
        <v>33960</v>
      </c>
      <c r="BH114" s="28">
        <v>33920</v>
      </c>
      <c r="BI114" s="28">
        <v>33870</v>
      </c>
      <c r="BJ114" s="28">
        <v>33800</v>
      </c>
      <c r="BK114" s="28">
        <v>33730</v>
      </c>
      <c r="BL114" s="28">
        <v>33660</v>
      </c>
    </row>
    <row r="115" spans="1:64" x14ac:dyDescent="0.2">
      <c r="A115" s="28">
        <v>5</v>
      </c>
      <c r="B115" s="80">
        <v>29670</v>
      </c>
      <c r="C115" s="80">
        <v>28590</v>
      </c>
      <c r="D115" s="80">
        <v>29100</v>
      </c>
      <c r="E115" s="80">
        <v>29870</v>
      </c>
      <c r="F115" s="80">
        <v>29760</v>
      </c>
      <c r="G115" s="80">
        <v>30240</v>
      </c>
      <c r="H115" s="80">
        <v>31670</v>
      </c>
      <c r="I115" s="80">
        <v>32730</v>
      </c>
      <c r="J115" s="80">
        <v>33070</v>
      </c>
      <c r="K115" s="80">
        <v>33390</v>
      </c>
      <c r="L115" s="28">
        <v>32900</v>
      </c>
      <c r="M115" s="28">
        <v>32590</v>
      </c>
      <c r="N115" s="28">
        <v>32420</v>
      </c>
      <c r="O115" s="28">
        <v>31820</v>
      </c>
      <c r="P115" s="28">
        <v>31810</v>
      </c>
      <c r="Q115" s="28">
        <v>31660</v>
      </c>
      <c r="R115" s="28">
        <v>32100</v>
      </c>
      <c r="S115" s="28">
        <v>32720</v>
      </c>
      <c r="T115" s="28">
        <v>33270</v>
      </c>
      <c r="U115" s="28">
        <v>33740</v>
      </c>
      <c r="V115" s="28">
        <v>34110</v>
      </c>
      <c r="W115" s="28">
        <v>34360</v>
      </c>
      <c r="X115" s="28">
        <v>34500</v>
      </c>
      <c r="Y115" s="28">
        <v>34580</v>
      </c>
      <c r="Z115" s="28">
        <v>34580</v>
      </c>
      <c r="AA115" s="28">
        <v>34510</v>
      </c>
      <c r="AB115" s="28">
        <v>34400</v>
      </c>
      <c r="AC115" s="28">
        <v>34230</v>
      </c>
      <c r="AD115" s="28">
        <v>34030</v>
      </c>
      <c r="AE115" s="28">
        <v>33790</v>
      </c>
      <c r="AF115" s="28">
        <v>33550</v>
      </c>
      <c r="AG115" s="28">
        <v>33310</v>
      </c>
      <c r="AH115" s="28">
        <v>33080</v>
      </c>
      <c r="AI115" s="28">
        <v>32890</v>
      </c>
      <c r="AJ115" s="28">
        <v>32740</v>
      </c>
      <c r="AK115" s="28">
        <v>32650</v>
      </c>
      <c r="AL115" s="28">
        <v>32610</v>
      </c>
      <c r="AM115" s="28">
        <v>32610</v>
      </c>
      <c r="AN115" s="28">
        <v>32660</v>
      </c>
      <c r="AO115" s="28">
        <v>32740</v>
      </c>
      <c r="AP115" s="28">
        <v>32830</v>
      </c>
      <c r="AQ115" s="28">
        <v>32930</v>
      </c>
      <c r="AR115" s="28">
        <v>33040</v>
      </c>
      <c r="AS115" s="28">
        <v>33140</v>
      </c>
      <c r="AT115" s="28">
        <v>33230</v>
      </c>
      <c r="AU115" s="28">
        <v>33330</v>
      </c>
      <c r="AV115" s="28">
        <v>33410</v>
      </c>
      <c r="AW115" s="28">
        <v>33490</v>
      </c>
      <c r="AX115" s="28">
        <v>33570</v>
      </c>
      <c r="AY115" s="28">
        <v>33660</v>
      </c>
      <c r="AZ115" s="28">
        <v>33740</v>
      </c>
      <c r="BA115" s="28">
        <v>33810</v>
      </c>
      <c r="BB115" s="28">
        <v>33880</v>
      </c>
      <c r="BC115" s="28">
        <v>33950</v>
      </c>
      <c r="BD115" s="28">
        <v>34000</v>
      </c>
      <c r="BE115" s="28">
        <v>34040</v>
      </c>
      <c r="BF115" s="28">
        <v>34060</v>
      </c>
      <c r="BG115" s="28">
        <v>34060</v>
      </c>
      <c r="BH115" s="28">
        <v>34040</v>
      </c>
      <c r="BI115" s="28">
        <v>34000</v>
      </c>
      <c r="BJ115" s="28">
        <v>33950</v>
      </c>
      <c r="BK115" s="28">
        <v>33880</v>
      </c>
      <c r="BL115" s="28">
        <v>33810</v>
      </c>
    </row>
    <row r="116" spans="1:64" x14ac:dyDescent="0.2">
      <c r="A116" s="28">
        <v>6</v>
      </c>
      <c r="B116" s="80">
        <v>30280</v>
      </c>
      <c r="C116" s="80">
        <v>29980</v>
      </c>
      <c r="D116" s="80">
        <v>28760</v>
      </c>
      <c r="E116" s="80">
        <v>29210</v>
      </c>
      <c r="F116" s="80">
        <v>29950</v>
      </c>
      <c r="G116" s="80">
        <v>29730</v>
      </c>
      <c r="H116" s="80">
        <v>30080</v>
      </c>
      <c r="I116" s="80">
        <v>31520</v>
      </c>
      <c r="J116" s="80">
        <v>32870</v>
      </c>
      <c r="K116" s="80">
        <v>33310</v>
      </c>
      <c r="L116" s="28">
        <v>33680</v>
      </c>
      <c r="M116" s="28">
        <v>33170</v>
      </c>
      <c r="N116" s="28">
        <v>32830</v>
      </c>
      <c r="O116" s="28">
        <v>32610</v>
      </c>
      <c r="P116" s="28">
        <v>31970</v>
      </c>
      <c r="Q116" s="28">
        <v>31920</v>
      </c>
      <c r="R116" s="28">
        <v>31740</v>
      </c>
      <c r="S116" s="28">
        <v>32170</v>
      </c>
      <c r="T116" s="28">
        <v>32790</v>
      </c>
      <c r="U116" s="28">
        <v>33340</v>
      </c>
      <c r="V116" s="28">
        <v>33810</v>
      </c>
      <c r="W116" s="28">
        <v>34180</v>
      </c>
      <c r="X116" s="28">
        <v>34430</v>
      </c>
      <c r="Y116" s="28">
        <v>34570</v>
      </c>
      <c r="Z116" s="28">
        <v>34650</v>
      </c>
      <c r="AA116" s="28">
        <v>34650</v>
      </c>
      <c r="AB116" s="28">
        <v>34590</v>
      </c>
      <c r="AC116" s="28">
        <v>34470</v>
      </c>
      <c r="AD116" s="28">
        <v>34300</v>
      </c>
      <c r="AE116" s="28">
        <v>34100</v>
      </c>
      <c r="AF116" s="28">
        <v>33870</v>
      </c>
      <c r="AG116" s="28">
        <v>33620</v>
      </c>
      <c r="AH116" s="28">
        <v>33380</v>
      </c>
      <c r="AI116" s="28">
        <v>33160</v>
      </c>
      <c r="AJ116" s="28">
        <v>32970</v>
      </c>
      <c r="AK116" s="28">
        <v>32820</v>
      </c>
      <c r="AL116" s="28">
        <v>32720</v>
      </c>
      <c r="AM116" s="28">
        <v>32680</v>
      </c>
      <c r="AN116" s="28">
        <v>32690</v>
      </c>
      <c r="AO116" s="28">
        <v>32740</v>
      </c>
      <c r="AP116" s="28">
        <v>32810</v>
      </c>
      <c r="AQ116" s="28">
        <v>32900</v>
      </c>
      <c r="AR116" s="28">
        <v>33010</v>
      </c>
      <c r="AS116" s="28">
        <v>33110</v>
      </c>
      <c r="AT116" s="28">
        <v>33210</v>
      </c>
      <c r="AU116" s="28">
        <v>33310</v>
      </c>
      <c r="AV116" s="28">
        <v>33400</v>
      </c>
      <c r="AW116" s="28">
        <v>33490</v>
      </c>
      <c r="AX116" s="28">
        <v>33570</v>
      </c>
      <c r="AY116" s="28">
        <v>33650</v>
      </c>
      <c r="AZ116" s="28">
        <v>33730</v>
      </c>
      <c r="BA116" s="28">
        <v>33810</v>
      </c>
      <c r="BB116" s="28">
        <v>33890</v>
      </c>
      <c r="BC116" s="28">
        <v>33960</v>
      </c>
      <c r="BD116" s="28">
        <v>34020</v>
      </c>
      <c r="BE116" s="28">
        <v>34080</v>
      </c>
      <c r="BF116" s="28">
        <v>34110</v>
      </c>
      <c r="BG116" s="28">
        <v>34130</v>
      </c>
      <c r="BH116" s="28">
        <v>34130</v>
      </c>
      <c r="BI116" s="28">
        <v>34110</v>
      </c>
      <c r="BJ116" s="28">
        <v>34080</v>
      </c>
      <c r="BK116" s="28">
        <v>34020</v>
      </c>
      <c r="BL116" s="28">
        <v>33960</v>
      </c>
    </row>
    <row r="117" spans="1:64" x14ac:dyDescent="0.2">
      <c r="A117" s="28">
        <v>7</v>
      </c>
      <c r="B117" s="80">
        <v>29500</v>
      </c>
      <c r="C117" s="80">
        <v>30570</v>
      </c>
      <c r="D117" s="80">
        <v>30180</v>
      </c>
      <c r="E117" s="80">
        <v>28890</v>
      </c>
      <c r="F117" s="80">
        <v>29340</v>
      </c>
      <c r="G117" s="80">
        <v>29910</v>
      </c>
      <c r="H117" s="80">
        <v>29610</v>
      </c>
      <c r="I117" s="80">
        <v>29960</v>
      </c>
      <c r="J117" s="80">
        <v>31620</v>
      </c>
      <c r="K117" s="80">
        <v>33060</v>
      </c>
      <c r="L117" s="28">
        <v>33600</v>
      </c>
      <c r="M117" s="28">
        <v>33940</v>
      </c>
      <c r="N117" s="28">
        <v>33380</v>
      </c>
      <c r="O117" s="28">
        <v>33000</v>
      </c>
      <c r="P117" s="28">
        <v>32750</v>
      </c>
      <c r="Q117" s="28">
        <v>32080</v>
      </c>
      <c r="R117" s="28">
        <v>31990</v>
      </c>
      <c r="S117" s="28">
        <v>31800</v>
      </c>
      <c r="T117" s="28">
        <v>32240</v>
      </c>
      <c r="U117" s="28">
        <v>32860</v>
      </c>
      <c r="V117" s="28">
        <v>33410</v>
      </c>
      <c r="W117" s="28">
        <v>33880</v>
      </c>
      <c r="X117" s="28">
        <v>34250</v>
      </c>
      <c r="Y117" s="28">
        <v>34500</v>
      </c>
      <c r="Z117" s="28">
        <v>34640</v>
      </c>
      <c r="AA117" s="28">
        <v>34720</v>
      </c>
      <c r="AB117" s="28">
        <v>34720</v>
      </c>
      <c r="AC117" s="28">
        <v>34650</v>
      </c>
      <c r="AD117" s="28">
        <v>34540</v>
      </c>
      <c r="AE117" s="28">
        <v>34370</v>
      </c>
      <c r="AF117" s="28">
        <v>34170</v>
      </c>
      <c r="AG117" s="28">
        <v>33940</v>
      </c>
      <c r="AH117" s="28">
        <v>33690</v>
      </c>
      <c r="AI117" s="28">
        <v>33450</v>
      </c>
      <c r="AJ117" s="28">
        <v>33230</v>
      </c>
      <c r="AK117" s="28">
        <v>33030</v>
      </c>
      <c r="AL117" s="28">
        <v>32890</v>
      </c>
      <c r="AM117" s="28">
        <v>32790</v>
      </c>
      <c r="AN117" s="28">
        <v>32750</v>
      </c>
      <c r="AO117" s="28">
        <v>32760</v>
      </c>
      <c r="AP117" s="28">
        <v>32800</v>
      </c>
      <c r="AQ117" s="28">
        <v>32880</v>
      </c>
      <c r="AR117" s="28">
        <v>32970</v>
      </c>
      <c r="AS117" s="28">
        <v>33080</v>
      </c>
      <c r="AT117" s="28">
        <v>33180</v>
      </c>
      <c r="AU117" s="28">
        <v>33280</v>
      </c>
      <c r="AV117" s="28">
        <v>33380</v>
      </c>
      <c r="AW117" s="28">
        <v>33470</v>
      </c>
      <c r="AX117" s="28">
        <v>33550</v>
      </c>
      <c r="AY117" s="28">
        <v>33640</v>
      </c>
      <c r="AZ117" s="28">
        <v>33720</v>
      </c>
      <c r="BA117" s="28">
        <v>33800</v>
      </c>
      <c r="BB117" s="28">
        <v>33880</v>
      </c>
      <c r="BC117" s="28">
        <v>33960</v>
      </c>
      <c r="BD117" s="28">
        <v>34030</v>
      </c>
      <c r="BE117" s="28">
        <v>34090</v>
      </c>
      <c r="BF117" s="28">
        <v>34150</v>
      </c>
      <c r="BG117" s="28">
        <v>34180</v>
      </c>
      <c r="BH117" s="28">
        <v>34200</v>
      </c>
      <c r="BI117" s="28">
        <v>34200</v>
      </c>
      <c r="BJ117" s="28">
        <v>34180</v>
      </c>
      <c r="BK117" s="28">
        <v>34140</v>
      </c>
      <c r="BL117" s="28">
        <v>34090</v>
      </c>
    </row>
    <row r="118" spans="1:64" x14ac:dyDescent="0.2">
      <c r="A118" s="28">
        <v>8</v>
      </c>
      <c r="B118" s="80">
        <v>29960</v>
      </c>
      <c r="C118" s="80">
        <v>29810</v>
      </c>
      <c r="D118" s="80">
        <v>30860</v>
      </c>
      <c r="E118" s="80">
        <v>30370</v>
      </c>
      <c r="F118" s="80">
        <v>29120</v>
      </c>
      <c r="G118" s="80">
        <v>29410</v>
      </c>
      <c r="H118" s="80">
        <v>29840</v>
      </c>
      <c r="I118" s="80">
        <v>29550</v>
      </c>
      <c r="J118" s="80">
        <v>30060</v>
      </c>
      <c r="K118" s="80">
        <v>31800</v>
      </c>
      <c r="L118" s="28">
        <v>33310</v>
      </c>
      <c r="M118" s="28">
        <v>33840</v>
      </c>
      <c r="N118" s="28">
        <v>34140</v>
      </c>
      <c r="O118" s="28">
        <v>33550</v>
      </c>
      <c r="P118" s="28">
        <v>33140</v>
      </c>
      <c r="Q118" s="28">
        <v>32860</v>
      </c>
      <c r="R118" s="28">
        <v>32150</v>
      </c>
      <c r="S118" s="28">
        <v>32060</v>
      </c>
      <c r="T118" s="28">
        <v>31870</v>
      </c>
      <c r="U118" s="28">
        <v>32310</v>
      </c>
      <c r="V118" s="28">
        <v>32920</v>
      </c>
      <c r="W118" s="28">
        <v>33480</v>
      </c>
      <c r="X118" s="28">
        <v>33950</v>
      </c>
      <c r="Y118" s="28">
        <v>34320</v>
      </c>
      <c r="Z118" s="28">
        <v>34560</v>
      </c>
      <c r="AA118" s="28">
        <v>34710</v>
      </c>
      <c r="AB118" s="28">
        <v>34780</v>
      </c>
      <c r="AC118" s="28">
        <v>34790</v>
      </c>
      <c r="AD118" s="28">
        <v>34720</v>
      </c>
      <c r="AE118" s="28">
        <v>34610</v>
      </c>
      <c r="AF118" s="28">
        <v>34440</v>
      </c>
      <c r="AG118" s="28">
        <v>34240</v>
      </c>
      <c r="AH118" s="28">
        <v>34010</v>
      </c>
      <c r="AI118" s="28">
        <v>33760</v>
      </c>
      <c r="AJ118" s="28">
        <v>33520</v>
      </c>
      <c r="AK118" s="28">
        <v>33300</v>
      </c>
      <c r="AL118" s="28">
        <v>33100</v>
      </c>
      <c r="AM118" s="28">
        <v>32960</v>
      </c>
      <c r="AN118" s="28">
        <v>32860</v>
      </c>
      <c r="AO118" s="28">
        <v>32820</v>
      </c>
      <c r="AP118" s="28">
        <v>32830</v>
      </c>
      <c r="AQ118" s="28">
        <v>32870</v>
      </c>
      <c r="AR118" s="28">
        <v>32950</v>
      </c>
      <c r="AS118" s="28">
        <v>33040</v>
      </c>
      <c r="AT118" s="28">
        <v>33150</v>
      </c>
      <c r="AU118" s="28">
        <v>33250</v>
      </c>
      <c r="AV118" s="28">
        <v>33350</v>
      </c>
      <c r="AW118" s="28">
        <v>33450</v>
      </c>
      <c r="AX118" s="28">
        <v>33540</v>
      </c>
      <c r="AY118" s="28">
        <v>33620</v>
      </c>
      <c r="AZ118" s="28">
        <v>33710</v>
      </c>
      <c r="BA118" s="28">
        <v>33790</v>
      </c>
      <c r="BB118" s="28">
        <v>33870</v>
      </c>
      <c r="BC118" s="28">
        <v>33950</v>
      </c>
      <c r="BD118" s="28">
        <v>34030</v>
      </c>
      <c r="BE118" s="28">
        <v>34100</v>
      </c>
      <c r="BF118" s="28">
        <v>34160</v>
      </c>
      <c r="BG118" s="28">
        <v>34220</v>
      </c>
      <c r="BH118" s="28">
        <v>34250</v>
      </c>
      <c r="BI118" s="28">
        <v>34270</v>
      </c>
      <c r="BJ118" s="28">
        <v>34270</v>
      </c>
      <c r="BK118" s="28">
        <v>34250</v>
      </c>
      <c r="BL118" s="28">
        <v>34220</v>
      </c>
    </row>
    <row r="119" spans="1:64" x14ac:dyDescent="0.2">
      <c r="A119" s="28">
        <v>9</v>
      </c>
      <c r="B119" s="80">
        <v>29820</v>
      </c>
      <c r="C119" s="80">
        <v>30270</v>
      </c>
      <c r="D119" s="80">
        <v>30090</v>
      </c>
      <c r="E119" s="80">
        <v>31080</v>
      </c>
      <c r="F119" s="80">
        <v>30610</v>
      </c>
      <c r="G119" s="80">
        <v>29220</v>
      </c>
      <c r="H119" s="80">
        <v>29330</v>
      </c>
      <c r="I119" s="80">
        <v>29810</v>
      </c>
      <c r="J119" s="80">
        <v>29610</v>
      </c>
      <c r="K119" s="80">
        <v>30230</v>
      </c>
      <c r="L119" s="28">
        <v>32090</v>
      </c>
      <c r="M119" s="28">
        <v>33550</v>
      </c>
      <c r="N119" s="28">
        <v>34040</v>
      </c>
      <c r="O119" s="28">
        <v>34320</v>
      </c>
      <c r="P119" s="28">
        <v>33700</v>
      </c>
      <c r="Q119" s="28">
        <v>33250</v>
      </c>
      <c r="R119" s="28">
        <v>32930</v>
      </c>
      <c r="S119" s="28">
        <v>32220</v>
      </c>
      <c r="T119" s="28">
        <v>32130</v>
      </c>
      <c r="U119" s="28">
        <v>31950</v>
      </c>
      <c r="V119" s="28">
        <v>32390</v>
      </c>
      <c r="W119" s="28">
        <v>33000</v>
      </c>
      <c r="X119" s="28">
        <v>33550</v>
      </c>
      <c r="Y119" s="28">
        <v>34020</v>
      </c>
      <c r="Z119" s="28">
        <v>34400</v>
      </c>
      <c r="AA119" s="28">
        <v>34640</v>
      </c>
      <c r="AB119" s="28">
        <v>34790</v>
      </c>
      <c r="AC119" s="28">
        <v>34860</v>
      </c>
      <c r="AD119" s="28">
        <v>34860</v>
      </c>
      <c r="AE119" s="28">
        <v>34800</v>
      </c>
      <c r="AF119" s="28">
        <v>34680</v>
      </c>
      <c r="AG119" s="28">
        <v>34520</v>
      </c>
      <c r="AH119" s="28">
        <v>34320</v>
      </c>
      <c r="AI119" s="28">
        <v>34080</v>
      </c>
      <c r="AJ119" s="28">
        <v>33840</v>
      </c>
      <c r="AK119" s="28">
        <v>33600</v>
      </c>
      <c r="AL119" s="28">
        <v>33370</v>
      </c>
      <c r="AM119" s="28">
        <v>33180</v>
      </c>
      <c r="AN119" s="28">
        <v>33040</v>
      </c>
      <c r="AO119" s="28">
        <v>32940</v>
      </c>
      <c r="AP119" s="28">
        <v>32900</v>
      </c>
      <c r="AQ119" s="28">
        <v>32910</v>
      </c>
      <c r="AR119" s="28">
        <v>32950</v>
      </c>
      <c r="AS119" s="28">
        <v>33030</v>
      </c>
      <c r="AT119" s="28">
        <v>33120</v>
      </c>
      <c r="AU119" s="28">
        <v>33220</v>
      </c>
      <c r="AV119" s="28">
        <v>33330</v>
      </c>
      <c r="AW119" s="28">
        <v>33430</v>
      </c>
      <c r="AX119" s="28">
        <v>33530</v>
      </c>
      <c r="AY119" s="28">
        <v>33620</v>
      </c>
      <c r="AZ119" s="28">
        <v>33700</v>
      </c>
      <c r="BA119" s="28">
        <v>33790</v>
      </c>
      <c r="BB119" s="28">
        <v>33870</v>
      </c>
      <c r="BC119" s="28">
        <v>33950</v>
      </c>
      <c r="BD119" s="28">
        <v>34030</v>
      </c>
      <c r="BE119" s="28">
        <v>34110</v>
      </c>
      <c r="BF119" s="28">
        <v>34180</v>
      </c>
      <c r="BG119" s="28">
        <v>34240</v>
      </c>
      <c r="BH119" s="28">
        <v>34300</v>
      </c>
      <c r="BI119" s="28">
        <v>34330</v>
      </c>
      <c r="BJ119" s="28">
        <v>34350</v>
      </c>
      <c r="BK119" s="28">
        <v>34350</v>
      </c>
      <c r="BL119" s="28">
        <v>34330</v>
      </c>
    </row>
    <row r="120" spans="1:64" x14ac:dyDescent="0.2">
      <c r="A120" s="28">
        <v>10</v>
      </c>
      <c r="B120" s="80">
        <v>31100</v>
      </c>
      <c r="C120" s="80">
        <v>30190</v>
      </c>
      <c r="D120" s="80">
        <v>30480</v>
      </c>
      <c r="E120" s="80">
        <v>30320</v>
      </c>
      <c r="F120" s="80">
        <v>31360</v>
      </c>
      <c r="G120" s="80">
        <v>30720</v>
      </c>
      <c r="H120" s="80">
        <v>29220</v>
      </c>
      <c r="I120" s="80">
        <v>29330</v>
      </c>
      <c r="J120" s="80">
        <v>29910</v>
      </c>
      <c r="K120" s="80">
        <v>29830</v>
      </c>
      <c r="L120" s="28">
        <v>30490</v>
      </c>
      <c r="M120" s="28">
        <v>32320</v>
      </c>
      <c r="N120" s="28">
        <v>33760</v>
      </c>
      <c r="O120" s="28">
        <v>34220</v>
      </c>
      <c r="P120" s="28">
        <v>34460</v>
      </c>
      <c r="Q120" s="28">
        <v>33810</v>
      </c>
      <c r="R120" s="28">
        <v>33330</v>
      </c>
      <c r="S120" s="28">
        <v>33020</v>
      </c>
      <c r="T120" s="28">
        <v>32310</v>
      </c>
      <c r="U120" s="28">
        <v>32220</v>
      </c>
      <c r="V120" s="28">
        <v>32030</v>
      </c>
      <c r="W120" s="28">
        <v>32470</v>
      </c>
      <c r="X120" s="28">
        <v>33090</v>
      </c>
      <c r="Y120" s="28">
        <v>33640</v>
      </c>
      <c r="Z120" s="28">
        <v>34110</v>
      </c>
      <c r="AA120" s="28">
        <v>34480</v>
      </c>
      <c r="AB120" s="28">
        <v>34730</v>
      </c>
      <c r="AC120" s="28">
        <v>34880</v>
      </c>
      <c r="AD120" s="28">
        <v>34950</v>
      </c>
      <c r="AE120" s="28">
        <v>34950</v>
      </c>
      <c r="AF120" s="28">
        <v>34890</v>
      </c>
      <c r="AG120" s="28">
        <v>34770</v>
      </c>
      <c r="AH120" s="28">
        <v>34610</v>
      </c>
      <c r="AI120" s="28">
        <v>34400</v>
      </c>
      <c r="AJ120" s="28">
        <v>34170</v>
      </c>
      <c r="AK120" s="28">
        <v>33930</v>
      </c>
      <c r="AL120" s="28">
        <v>33680</v>
      </c>
      <c r="AM120" s="28">
        <v>33460</v>
      </c>
      <c r="AN120" s="28">
        <v>33270</v>
      </c>
      <c r="AO120" s="28">
        <v>33120</v>
      </c>
      <c r="AP120" s="28">
        <v>33030</v>
      </c>
      <c r="AQ120" s="28">
        <v>32990</v>
      </c>
      <c r="AR120" s="28">
        <v>32990</v>
      </c>
      <c r="AS120" s="28">
        <v>33040</v>
      </c>
      <c r="AT120" s="28">
        <v>33120</v>
      </c>
      <c r="AU120" s="28">
        <v>33210</v>
      </c>
      <c r="AV120" s="28">
        <v>33310</v>
      </c>
      <c r="AW120" s="28">
        <v>33420</v>
      </c>
      <c r="AX120" s="28">
        <v>33520</v>
      </c>
      <c r="AY120" s="28">
        <v>33610</v>
      </c>
      <c r="AZ120" s="28">
        <v>33710</v>
      </c>
      <c r="BA120" s="28">
        <v>33790</v>
      </c>
      <c r="BB120" s="28">
        <v>33870</v>
      </c>
      <c r="BC120" s="28">
        <v>33960</v>
      </c>
      <c r="BD120" s="28">
        <v>34040</v>
      </c>
      <c r="BE120" s="28">
        <v>34120</v>
      </c>
      <c r="BF120" s="28">
        <v>34190</v>
      </c>
      <c r="BG120" s="28">
        <v>34270</v>
      </c>
      <c r="BH120" s="28">
        <v>34330</v>
      </c>
      <c r="BI120" s="28">
        <v>34380</v>
      </c>
      <c r="BJ120" s="28">
        <v>34420</v>
      </c>
      <c r="BK120" s="28">
        <v>34440</v>
      </c>
      <c r="BL120" s="28">
        <v>34440</v>
      </c>
    </row>
    <row r="121" spans="1:64" x14ac:dyDescent="0.2">
      <c r="A121" s="28">
        <v>11</v>
      </c>
      <c r="B121" s="80">
        <v>31570</v>
      </c>
      <c r="C121" s="80">
        <v>31310</v>
      </c>
      <c r="D121" s="80">
        <v>30420</v>
      </c>
      <c r="E121" s="80">
        <v>30690</v>
      </c>
      <c r="F121" s="80">
        <v>30620</v>
      </c>
      <c r="G121" s="80">
        <v>31500</v>
      </c>
      <c r="H121" s="80">
        <v>30790</v>
      </c>
      <c r="I121" s="80">
        <v>29240</v>
      </c>
      <c r="J121" s="80">
        <v>29430</v>
      </c>
      <c r="K121" s="80">
        <v>30070</v>
      </c>
      <c r="L121" s="28">
        <v>30030</v>
      </c>
      <c r="M121" s="28">
        <v>30730</v>
      </c>
      <c r="N121" s="28">
        <v>32530</v>
      </c>
      <c r="O121" s="28">
        <v>33940</v>
      </c>
      <c r="P121" s="28">
        <v>34370</v>
      </c>
      <c r="Q121" s="28">
        <v>34580</v>
      </c>
      <c r="R121" s="28">
        <v>33900</v>
      </c>
      <c r="S121" s="28">
        <v>33430</v>
      </c>
      <c r="T121" s="28">
        <v>33110</v>
      </c>
      <c r="U121" s="28">
        <v>32400</v>
      </c>
      <c r="V121" s="28">
        <v>32310</v>
      </c>
      <c r="W121" s="28">
        <v>32130</v>
      </c>
      <c r="X121" s="28">
        <v>32570</v>
      </c>
      <c r="Y121" s="28">
        <v>33180</v>
      </c>
      <c r="Z121" s="28">
        <v>33730</v>
      </c>
      <c r="AA121" s="28">
        <v>34200</v>
      </c>
      <c r="AB121" s="28">
        <v>34570</v>
      </c>
      <c r="AC121" s="28">
        <v>34820</v>
      </c>
      <c r="AD121" s="28">
        <v>34970</v>
      </c>
      <c r="AE121" s="28">
        <v>35040</v>
      </c>
      <c r="AF121" s="28">
        <v>35040</v>
      </c>
      <c r="AG121" s="28">
        <v>34980</v>
      </c>
      <c r="AH121" s="28">
        <v>34860</v>
      </c>
      <c r="AI121" s="28">
        <v>34700</v>
      </c>
      <c r="AJ121" s="28">
        <v>34500</v>
      </c>
      <c r="AK121" s="28">
        <v>34260</v>
      </c>
      <c r="AL121" s="28">
        <v>34020</v>
      </c>
      <c r="AM121" s="28">
        <v>33780</v>
      </c>
      <c r="AN121" s="28">
        <v>33560</v>
      </c>
      <c r="AO121" s="28">
        <v>33360</v>
      </c>
      <c r="AP121" s="28">
        <v>33220</v>
      </c>
      <c r="AQ121" s="28">
        <v>33120</v>
      </c>
      <c r="AR121" s="28">
        <v>33080</v>
      </c>
      <c r="AS121" s="28">
        <v>33090</v>
      </c>
      <c r="AT121" s="28">
        <v>33130</v>
      </c>
      <c r="AU121" s="28">
        <v>33210</v>
      </c>
      <c r="AV121" s="28">
        <v>33300</v>
      </c>
      <c r="AW121" s="28">
        <v>33410</v>
      </c>
      <c r="AX121" s="28">
        <v>33510</v>
      </c>
      <c r="AY121" s="28">
        <v>33610</v>
      </c>
      <c r="AZ121" s="28">
        <v>33710</v>
      </c>
      <c r="BA121" s="28">
        <v>33800</v>
      </c>
      <c r="BB121" s="28">
        <v>33890</v>
      </c>
      <c r="BC121" s="28">
        <v>33970</v>
      </c>
      <c r="BD121" s="28">
        <v>34050</v>
      </c>
      <c r="BE121" s="28">
        <v>34130</v>
      </c>
      <c r="BF121" s="28">
        <v>34210</v>
      </c>
      <c r="BG121" s="28">
        <v>34290</v>
      </c>
      <c r="BH121" s="28">
        <v>34360</v>
      </c>
      <c r="BI121" s="28">
        <v>34430</v>
      </c>
      <c r="BJ121" s="28">
        <v>34480</v>
      </c>
      <c r="BK121" s="28">
        <v>34520</v>
      </c>
      <c r="BL121" s="28">
        <v>34540</v>
      </c>
    </row>
    <row r="122" spans="1:64" x14ac:dyDescent="0.2">
      <c r="A122" s="28">
        <v>12</v>
      </c>
      <c r="B122" s="80">
        <v>31640</v>
      </c>
      <c r="C122" s="80">
        <v>31640</v>
      </c>
      <c r="D122" s="80">
        <v>31450</v>
      </c>
      <c r="E122" s="80">
        <v>30620</v>
      </c>
      <c r="F122" s="80">
        <v>30980</v>
      </c>
      <c r="G122" s="80">
        <v>30730</v>
      </c>
      <c r="H122" s="80">
        <v>31640</v>
      </c>
      <c r="I122" s="80">
        <v>30870</v>
      </c>
      <c r="J122" s="80">
        <v>29290</v>
      </c>
      <c r="K122" s="80">
        <v>29580</v>
      </c>
      <c r="L122" s="28">
        <v>30320</v>
      </c>
      <c r="M122" s="28">
        <v>30270</v>
      </c>
      <c r="N122" s="28">
        <v>30940</v>
      </c>
      <c r="O122" s="28">
        <v>32720</v>
      </c>
      <c r="P122" s="28">
        <v>34090</v>
      </c>
      <c r="Q122" s="28">
        <v>34500</v>
      </c>
      <c r="R122" s="28">
        <v>34680</v>
      </c>
      <c r="S122" s="28">
        <v>34000</v>
      </c>
      <c r="T122" s="28">
        <v>33530</v>
      </c>
      <c r="U122" s="28">
        <v>33210</v>
      </c>
      <c r="V122" s="28">
        <v>32500</v>
      </c>
      <c r="W122" s="28">
        <v>32420</v>
      </c>
      <c r="X122" s="28">
        <v>32230</v>
      </c>
      <c r="Y122" s="28">
        <v>32670</v>
      </c>
      <c r="Z122" s="28">
        <v>33280</v>
      </c>
      <c r="AA122" s="28">
        <v>33840</v>
      </c>
      <c r="AB122" s="28">
        <v>34310</v>
      </c>
      <c r="AC122" s="28">
        <v>34680</v>
      </c>
      <c r="AD122" s="28">
        <v>34930</v>
      </c>
      <c r="AE122" s="28">
        <v>35070</v>
      </c>
      <c r="AF122" s="28">
        <v>35150</v>
      </c>
      <c r="AG122" s="28">
        <v>35150</v>
      </c>
      <c r="AH122" s="28">
        <v>35090</v>
      </c>
      <c r="AI122" s="28">
        <v>34970</v>
      </c>
      <c r="AJ122" s="28">
        <v>34800</v>
      </c>
      <c r="AK122" s="28">
        <v>34600</v>
      </c>
      <c r="AL122" s="28">
        <v>34370</v>
      </c>
      <c r="AM122" s="28">
        <v>34120</v>
      </c>
      <c r="AN122" s="28">
        <v>33880</v>
      </c>
      <c r="AO122" s="28">
        <v>33660</v>
      </c>
      <c r="AP122" s="28">
        <v>33470</v>
      </c>
      <c r="AQ122" s="28">
        <v>33320</v>
      </c>
      <c r="AR122" s="28">
        <v>33230</v>
      </c>
      <c r="AS122" s="28">
        <v>33180</v>
      </c>
      <c r="AT122" s="28">
        <v>33190</v>
      </c>
      <c r="AU122" s="28">
        <v>33240</v>
      </c>
      <c r="AV122" s="28">
        <v>33310</v>
      </c>
      <c r="AW122" s="28">
        <v>33410</v>
      </c>
      <c r="AX122" s="28">
        <v>33510</v>
      </c>
      <c r="AY122" s="28">
        <v>33620</v>
      </c>
      <c r="AZ122" s="28">
        <v>33720</v>
      </c>
      <c r="BA122" s="28">
        <v>33810</v>
      </c>
      <c r="BB122" s="28">
        <v>33900</v>
      </c>
      <c r="BC122" s="28">
        <v>33990</v>
      </c>
      <c r="BD122" s="28">
        <v>34070</v>
      </c>
      <c r="BE122" s="28">
        <v>34150</v>
      </c>
      <c r="BF122" s="28">
        <v>34240</v>
      </c>
      <c r="BG122" s="28">
        <v>34320</v>
      </c>
      <c r="BH122" s="28">
        <v>34390</v>
      </c>
      <c r="BI122" s="28">
        <v>34470</v>
      </c>
      <c r="BJ122" s="28">
        <v>34530</v>
      </c>
      <c r="BK122" s="28">
        <v>34580</v>
      </c>
      <c r="BL122" s="28">
        <v>34620</v>
      </c>
    </row>
    <row r="123" spans="1:64" x14ac:dyDescent="0.2">
      <c r="A123" s="28">
        <v>13</v>
      </c>
      <c r="B123" s="80">
        <v>32400</v>
      </c>
      <c r="C123" s="80">
        <v>31620</v>
      </c>
      <c r="D123" s="80">
        <v>31620</v>
      </c>
      <c r="E123" s="80">
        <v>31610</v>
      </c>
      <c r="F123" s="80">
        <v>30840</v>
      </c>
      <c r="G123" s="80">
        <v>31190</v>
      </c>
      <c r="H123" s="80">
        <v>30830</v>
      </c>
      <c r="I123" s="80">
        <v>31780</v>
      </c>
      <c r="J123" s="80">
        <v>30950</v>
      </c>
      <c r="K123" s="80">
        <v>29470</v>
      </c>
      <c r="L123" s="28">
        <v>29860</v>
      </c>
      <c r="M123" s="28">
        <v>30560</v>
      </c>
      <c r="N123" s="28">
        <v>30490</v>
      </c>
      <c r="O123" s="28">
        <v>31130</v>
      </c>
      <c r="P123" s="28">
        <v>32880</v>
      </c>
      <c r="Q123" s="28">
        <v>34230</v>
      </c>
      <c r="R123" s="28">
        <v>34610</v>
      </c>
      <c r="S123" s="28">
        <v>34800</v>
      </c>
      <c r="T123" s="28">
        <v>34120</v>
      </c>
      <c r="U123" s="28">
        <v>33640</v>
      </c>
      <c r="V123" s="28">
        <v>33330</v>
      </c>
      <c r="W123" s="28">
        <v>32620</v>
      </c>
      <c r="X123" s="28">
        <v>32530</v>
      </c>
      <c r="Y123" s="28">
        <v>32340</v>
      </c>
      <c r="Z123" s="28">
        <v>32780</v>
      </c>
      <c r="AA123" s="28">
        <v>33400</v>
      </c>
      <c r="AB123" s="28">
        <v>33950</v>
      </c>
      <c r="AC123" s="28">
        <v>34420</v>
      </c>
      <c r="AD123" s="28">
        <v>34790</v>
      </c>
      <c r="AE123" s="28">
        <v>35040</v>
      </c>
      <c r="AF123" s="28">
        <v>35190</v>
      </c>
      <c r="AG123" s="28">
        <v>35260</v>
      </c>
      <c r="AH123" s="28">
        <v>35260</v>
      </c>
      <c r="AI123" s="28">
        <v>35200</v>
      </c>
      <c r="AJ123" s="28">
        <v>35080</v>
      </c>
      <c r="AK123" s="28">
        <v>34920</v>
      </c>
      <c r="AL123" s="28">
        <v>34710</v>
      </c>
      <c r="AM123" s="28">
        <v>34480</v>
      </c>
      <c r="AN123" s="28">
        <v>34240</v>
      </c>
      <c r="AO123" s="28">
        <v>34000</v>
      </c>
      <c r="AP123" s="28">
        <v>33770</v>
      </c>
      <c r="AQ123" s="28">
        <v>33580</v>
      </c>
      <c r="AR123" s="28">
        <v>33440</v>
      </c>
      <c r="AS123" s="28">
        <v>33340</v>
      </c>
      <c r="AT123" s="28">
        <v>33300</v>
      </c>
      <c r="AU123" s="28">
        <v>33310</v>
      </c>
      <c r="AV123" s="28">
        <v>33350</v>
      </c>
      <c r="AW123" s="28">
        <v>33430</v>
      </c>
      <c r="AX123" s="28">
        <v>33520</v>
      </c>
      <c r="AY123" s="28">
        <v>33630</v>
      </c>
      <c r="AZ123" s="28">
        <v>33730</v>
      </c>
      <c r="BA123" s="28">
        <v>33830</v>
      </c>
      <c r="BB123" s="28">
        <v>33930</v>
      </c>
      <c r="BC123" s="28">
        <v>34020</v>
      </c>
      <c r="BD123" s="28">
        <v>34110</v>
      </c>
      <c r="BE123" s="28">
        <v>34190</v>
      </c>
      <c r="BF123" s="28">
        <v>34270</v>
      </c>
      <c r="BG123" s="28">
        <v>34350</v>
      </c>
      <c r="BH123" s="28">
        <v>34430</v>
      </c>
      <c r="BI123" s="28">
        <v>34510</v>
      </c>
      <c r="BJ123" s="28">
        <v>34580</v>
      </c>
      <c r="BK123" s="28">
        <v>34650</v>
      </c>
      <c r="BL123" s="28">
        <v>34700</v>
      </c>
    </row>
    <row r="124" spans="1:64" x14ac:dyDescent="0.2">
      <c r="A124" s="28">
        <v>14</v>
      </c>
      <c r="B124" s="80">
        <v>32800</v>
      </c>
      <c r="C124" s="80">
        <v>32260</v>
      </c>
      <c r="D124" s="80">
        <v>31550</v>
      </c>
      <c r="E124" s="80">
        <v>31640</v>
      </c>
      <c r="F124" s="80">
        <v>31810</v>
      </c>
      <c r="G124" s="80">
        <v>31060</v>
      </c>
      <c r="H124" s="80">
        <v>31400</v>
      </c>
      <c r="I124" s="80">
        <v>30980</v>
      </c>
      <c r="J124" s="80">
        <v>31870</v>
      </c>
      <c r="K124" s="80">
        <v>31130</v>
      </c>
      <c r="L124" s="28">
        <v>29780</v>
      </c>
      <c r="M124" s="28">
        <v>30160</v>
      </c>
      <c r="N124" s="28">
        <v>30830</v>
      </c>
      <c r="O124" s="28">
        <v>30730</v>
      </c>
      <c r="P124" s="28">
        <v>31350</v>
      </c>
      <c r="Q124" s="28">
        <v>33070</v>
      </c>
      <c r="R124" s="28">
        <v>34390</v>
      </c>
      <c r="S124" s="28">
        <v>34760</v>
      </c>
      <c r="T124" s="28">
        <v>34950</v>
      </c>
      <c r="U124" s="28">
        <v>34270</v>
      </c>
      <c r="V124" s="28">
        <v>33800</v>
      </c>
      <c r="W124" s="28">
        <v>33480</v>
      </c>
      <c r="X124" s="28">
        <v>32770</v>
      </c>
      <c r="Y124" s="28">
        <v>32680</v>
      </c>
      <c r="Z124" s="28">
        <v>32500</v>
      </c>
      <c r="AA124" s="28">
        <v>32940</v>
      </c>
      <c r="AB124" s="28">
        <v>33550</v>
      </c>
      <c r="AC124" s="28">
        <v>34100</v>
      </c>
      <c r="AD124" s="28">
        <v>34580</v>
      </c>
      <c r="AE124" s="28">
        <v>34950</v>
      </c>
      <c r="AF124" s="28">
        <v>35190</v>
      </c>
      <c r="AG124" s="28">
        <v>35340</v>
      </c>
      <c r="AH124" s="28">
        <v>35420</v>
      </c>
      <c r="AI124" s="28">
        <v>35420</v>
      </c>
      <c r="AJ124" s="28">
        <v>35360</v>
      </c>
      <c r="AK124" s="28">
        <v>35240</v>
      </c>
      <c r="AL124" s="28">
        <v>35070</v>
      </c>
      <c r="AM124" s="28">
        <v>34870</v>
      </c>
      <c r="AN124" s="28">
        <v>34640</v>
      </c>
      <c r="AO124" s="28">
        <v>34400</v>
      </c>
      <c r="AP124" s="28">
        <v>34150</v>
      </c>
      <c r="AQ124" s="28">
        <v>33930</v>
      </c>
      <c r="AR124" s="28">
        <v>33740</v>
      </c>
      <c r="AS124" s="28">
        <v>33590</v>
      </c>
      <c r="AT124" s="28">
        <v>33500</v>
      </c>
      <c r="AU124" s="28">
        <v>33460</v>
      </c>
      <c r="AV124" s="28">
        <v>33460</v>
      </c>
      <c r="AW124" s="28">
        <v>33510</v>
      </c>
      <c r="AX124" s="28">
        <v>33590</v>
      </c>
      <c r="AY124" s="28">
        <v>33680</v>
      </c>
      <c r="AZ124" s="28">
        <v>33780</v>
      </c>
      <c r="BA124" s="28">
        <v>33890</v>
      </c>
      <c r="BB124" s="28">
        <v>33990</v>
      </c>
      <c r="BC124" s="28">
        <v>34090</v>
      </c>
      <c r="BD124" s="28">
        <v>34180</v>
      </c>
      <c r="BE124" s="28">
        <v>34270</v>
      </c>
      <c r="BF124" s="28">
        <v>34350</v>
      </c>
      <c r="BG124" s="28">
        <v>34430</v>
      </c>
      <c r="BH124" s="28">
        <v>34510</v>
      </c>
      <c r="BI124" s="28">
        <v>34590</v>
      </c>
      <c r="BJ124" s="28">
        <v>34670</v>
      </c>
      <c r="BK124" s="28">
        <v>34740</v>
      </c>
      <c r="BL124" s="28">
        <v>34810</v>
      </c>
    </row>
    <row r="125" spans="1:64" x14ac:dyDescent="0.2">
      <c r="A125" s="28">
        <v>15</v>
      </c>
      <c r="B125" s="80">
        <v>33590</v>
      </c>
      <c r="C125" s="80">
        <v>32590</v>
      </c>
      <c r="D125" s="80">
        <v>32100</v>
      </c>
      <c r="E125" s="80">
        <v>31480</v>
      </c>
      <c r="F125" s="80">
        <v>31790</v>
      </c>
      <c r="G125" s="80">
        <v>31950</v>
      </c>
      <c r="H125" s="80">
        <v>31310</v>
      </c>
      <c r="I125" s="80">
        <v>31620</v>
      </c>
      <c r="J125" s="80">
        <v>31180</v>
      </c>
      <c r="K125" s="80">
        <v>32190</v>
      </c>
      <c r="L125" s="28">
        <v>31480</v>
      </c>
      <c r="M125" s="28">
        <v>30190</v>
      </c>
      <c r="N125" s="28">
        <v>30530</v>
      </c>
      <c r="O125" s="28">
        <v>31180</v>
      </c>
      <c r="P125" s="28">
        <v>31040</v>
      </c>
      <c r="Q125" s="28">
        <v>31620</v>
      </c>
      <c r="R125" s="28">
        <v>33310</v>
      </c>
      <c r="S125" s="28">
        <v>34630</v>
      </c>
      <c r="T125" s="28">
        <v>35010</v>
      </c>
      <c r="U125" s="28">
        <v>35190</v>
      </c>
      <c r="V125" s="28">
        <v>34520</v>
      </c>
      <c r="W125" s="28">
        <v>34040</v>
      </c>
      <c r="X125" s="28">
        <v>33730</v>
      </c>
      <c r="Y125" s="28">
        <v>33020</v>
      </c>
      <c r="Z125" s="28">
        <v>32930</v>
      </c>
      <c r="AA125" s="28">
        <v>32740</v>
      </c>
      <c r="AB125" s="28">
        <v>33180</v>
      </c>
      <c r="AC125" s="28">
        <v>33800</v>
      </c>
      <c r="AD125" s="28">
        <v>34350</v>
      </c>
      <c r="AE125" s="28">
        <v>34820</v>
      </c>
      <c r="AF125" s="28">
        <v>35190</v>
      </c>
      <c r="AG125" s="28">
        <v>35440</v>
      </c>
      <c r="AH125" s="28">
        <v>35590</v>
      </c>
      <c r="AI125" s="28">
        <v>35660</v>
      </c>
      <c r="AJ125" s="28">
        <v>35660</v>
      </c>
      <c r="AK125" s="28">
        <v>35600</v>
      </c>
      <c r="AL125" s="28">
        <v>35490</v>
      </c>
      <c r="AM125" s="28">
        <v>35320</v>
      </c>
      <c r="AN125" s="28">
        <v>35120</v>
      </c>
      <c r="AO125" s="28">
        <v>34890</v>
      </c>
      <c r="AP125" s="28">
        <v>34640</v>
      </c>
      <c r="AQ125" s="28">
        <v>34400</v>
      </c>
      <c r="AR125" s="28">
        <v>34180</v>
      </c>
      <c r="AS125" s="28">
        <v>33990</v>
      </c>
      <c r="AT125" s="28">
        <v>33840</v>
      </c>
      <c r="AU125" s="28">
        <v>33750</v>
      </c>
      <c r="AV125" s="28">
        <v>33710</v>
      </c>
      <c r="AW125" s="28">
        <v>33710</v>
      </c>
      <c r="AX125" s="28">
        <v>33760</v>
      </c>
      <c r="AY125" s="28">
        <v>33840</v>
      </c>
      <c r="AZ125" s="28">
        <v>33930</v>
      </c>
      <c r="BA125" s="28">
        <v>34030</v>
      </c>
      <c r="BB125" s="28">
        <v>34140</v>
      </c>
      <c r="BC125" s="28">
        <v>34240</v>
      </c>
      <c r="BD125" s="28">
        <v>34340</v>
      </c>
      <c r="BE125" s="28">
        <v>34430</v>
      </c>
      <c r="BF125" s="28">
        <v>34510</v>
      </c>
      <c r="BG125" s="28">
        <v>34600</v>
      </c>
      <c r="BH125" s="28">
        <v>34680</v>
      </c>
      <c r="BI125" s="28">
        <v>34760</v>
      </c>
      <c r="BJ125" s="28">
        <v>34840</v>
      </c>
      <c r="BK125" s="28">
        <v>34920</v>
      </c>
      <c r="BL125" s="28">
        <v>34990</v>
      </c>
    </row>
    <row r="126" spans="1:64" x14ac:dyDescent="0.2">
      <c r="A126" s="28">
        <v>16</v>
      </c>
      <c r="B126" s="80">
        <v>32610</v>
      </c>
      <c r="C126" s="80">
        <v>33310</v>
      </c>
      <c r="D126" s="80">
        <v>32300</v>
      </c>
      <c r="E126" s="80">
        <v>32050</v>
      </c>
      <c r="F126" s="80">
        <v>31680</v>
      </c>
      <c r="G126" s="80">
        <v>31980</v>
      </c>
      <c r="H126" s="80">
        <v>32180</v>
      </c>
      <c r="I126" s="80">
        <v>31650</v>
      </c>
      <c r="J126" s="80">
        <v>31910</v>
      </c>
      <c r="K126" s="80">
        <v>31590</v>
      </c>
      <c r="L126" s="28">
        <v>32700</v>
      </c>
      <c r="M126" s="28">
        <v>31960</v>
      </c>
      <c r="N126" s="28">
        <v>30630</v>
      </c>
      <c r="O126" s="28">
        <v>30940</v>
      </c>
      <c r="P126" s="28">
        <v>31550</v>
      </c>
      <c r="Q126" s="28">
        <v>31380</v>
      </c>
      <c r="R126" s="28">
        <v>31930</v>
      </c>
      <c r="S126" s="28">
        <v>33610</v>
      </c>
      <c r="T126" s="28">
        <v>34930</v>
      </c>
      <c r="U126" s="28">
        <v>35310</v>
      </c>
      <c r="V126" s="28">
        <v>35500</v>
      </c>
      <c r="W126" s="28">
        <v>34820</v>
      </c>
      <c r="X126" s="28">
        <v>34350</v>
      </c>
      <c r="Y126" s="28">
        <v>34030</v>
      </c>
      <c r="Z126" s="28">
        <v>33320</v>
      </c>
      <c r="AA126" s="28">
        <v>33240</v>
      </c>
      <c r="AB126" s="28">
        <v>33050</v>
      </c>
      <c r="AC126" s="28">
        <v>33490</v>
      </c>
      <c r="AD126" s="28">
        <v>34110</v>
      </c>
      <c r="AE126" s="28">
        <v>34660</v>
      </c>
      <c r="AF126" s="28">
        <v>35130</v>
      </c>
      <c r="AG126" s="28">
        <v>35500</v>
      </c>
      <c r="AH126" s="28">
        <v>35750</v>
      </c>
      <c r="AI126" s="28">
        <v>35890</v>
      </c>
      <c r="AJ126" s="28">
        <v>35970</v>
      </c>
      <c r="AK126" s="28">
        <v>35970</v>
      </c>
      <c r="AL126" s="28">
        <v>35910</v>
      </c>
      <c r="AM126" s="28">
        <v>35790</v>
      </c>
      <c r="AN126" s="28">
        <v>35630</v>
      </c>
      <c r="AO126" s="28">
        <v>35430</v>
      </c>
      <c r="AP126" s="28">
        <v>35200</v>
      </c>
      <c r="AQ126" s="28">
        <v>34950</v>
      </c>
      <c r="AR126" s="28">
        <v>34710</v>
      </c>
      <c r="AS126" s="28">
        <v>34490</v>
      </c>
      <c r="AT126" s="28">
        <v>34300</v>
      </c>
      <c r="AU126" s="28">
        <v>34150</v>
      </c>
      <c r="AV126" s="28">
        <v>34060</v>
      </c>
      <c r="AW126" s="28">
        <v>34020</v>
      </c>
      <c r="AX126" s="28">
        <v>34020</v>
      </c>
      <c r="AY126" s="28">
        <v>34070</v>
      </c>
      <c r="AZ126" s="28">
        <v>34150</v>
      </c>
      <c r="BA126" s="28">
        <v>34240</v>
      </c>
      <c r="BB126" s="28">
        <v>34340</v>
      </c>
      <c r="BC126" s="28">
        <v>34450</v>
      </c>
      <c r="BD126" s="28">
        <v>34550</v>
      </c>
      <c r="BE126" s="28">
        <v>34650</v>
      </c>
      <c r="BF126" s="28">
        <v>34740</v>
      </c>
      <c r="BG126" s="28">
        <v>34830</v>
      </c>
      <c r="BH126" s="28">
        <v>34910</v>
      </c>
      <c r="BI126" s="28">
        <v>34990</v>
      </c>
      <c r="BJ126" s="28">
        <v>35070</v>
      </c>
      <c r="BK126" s="28">
        <v>35150</v>
      </c>
      <c r="BL126" s="28">
        <v>35230</v>
      </c>
    </row>
    <row r="127" spans="1:64" x14ac:dyDescent="0.2">
      <c r="A127" s="28">
        <v>17</v>
      </c>
      <c r="B127" s="80">
        <v>31820</v>
      </c>
      <c r="C127" s="80">
        <v>32260</v>
      </c>
      <c r="D127" s="80">
        <v>33160</v>
      </c>
      <c r="E127" s="80">
        <v>32180</v>
      </c>
      <c r="F127" s="80">
        <v>32210</v>
      </c>
      <c r="G127" s="80">
        <v>31800</v>
      </c>
      <c r="H127" s="80">
        <v>32120</v>
      </c>
      <c r="I127" s="80">
        <v>32430</v>
      </c>
      <c r="J127" s="80">
        <v>32040</v>
      </c>
      <c r="K127" s="80">
        <v>32400</v>
      </c>
      <c r="L127" s="28">
        <v>32130</v>
      </c>
      <c r="M127" s="28">
        <v>33190</v>
      </c>
      <c r="N127" s="28">
        <v>32410</v>
      </c>
      <c r="O127" s="28">
        <v>31050</v>
      </c>
      <c r="P127" s="28">
        <v>31320</v>
      </c>
      <c r="Q127" s="28">
        <v>31890</v>
      </c>
      <c r="R127" s="28">
        <v>31680</v>
      </c>
      <c r="S127" s="28">
        <v>32230</v>
      </c>
      <c r="T127" s="28">
        <v>33920</v>
      </c>
      <c r="U127" s="28">
        <v>35240</v>
      </c>
      <c r="V127" s="28">
        <v>35620</v>
      </c>
      <c r="W127" s="28">
        <v>35800</v>
      </c>
      <c r="X127" s="28">
        <v>35130</v>
      </c>
      <c r="Y127" s="28">
        <v>34650</v>
      </c>
      <c r="Z127" s="28">
        <v>34340</v>
      </c>
      <c r="AA127" s="28">
        <v>33630</v>
      </c>
      <c r="AB127" s="28">
        <v>33540</v>
      </c>
      <c r="AC127" s="28">
        <v>33360</v>
      </c>
      <c r="AD127" s="28">
        <v>33800</v>
      </c>
      <c r="AE127" s="28">
        <v>34410</v>
      </c>
      <c r="AF127" s="28">
        <v>34960</v>
      </c>
      <c r="AG127" s="28">
        <v>35440</v>
      </c>
      <c r="AH127" s="28">
        <v>35810</v>
      </c>
      <c r="AI127" s="28">
        <v>36050</v>
      </c>
      <c r="AJ127" s="28">
        <v>36200</v>
      </c>
      <c r="AK127" s="28">
        <v>36280</v>
      </c>
      <c r="AL127" s="28">
        <v>36280</v>
      </c>
      <c r="AM127" s="28">
        <v>36220</v>
      </c>
      <c r="AN127" s="28">
        <v>36100</v>
      </c>
      <c r="AO127" s="28">
        <v>35940</v>
      </c>
      <c r="AP127" s="28">
        <v>35730</v>
      </c>
      <c r="AQ127" s="28">
        <v>35500</v>
      </c>
      <c r="AR127" s="28">
        <v>35260</v>
      </c>
      <c r="AS127" s="28">
        <v>35020</v>
      </c>
      <c r="AT127" s="28">
        <v>34800</v>
      </c>
      <c r="AU127" s="28">
        <v>34610</v>
      </c>
      <c r="AV127" s="28">
        <v>34460</v>
      </c>
      <c r="AW127" s="28">
        <v>34370</v>
      </c>
      <c r="AX127" s="28">
        <v>34330</v>
      </c>
      <c r="AY127" s="28">
        <v>34330</v>
      </c>
      <c r="AZ127" s="28">
        <v>34380</v>
      </c>
      <c r="BA127" s="28">
        <v>34460</v>
      </c>
      <c r="BB127" s="28">
        <v>34550</v>
      </c>
      <c r="BC127" s="28">
        <v>34650</v>
      </c>
      <c r="BD127" s="28">
        <v>34760</v>
      </c>
      <c r="BE127" s="28">
        <v>34860</v>
      </c>
      <c r="BF127" s="28">
        <v>34960</v>
      </c>
      <c r="BG127" s="28">
        <v>35050</v>
      </c>
      <c r="BH127" s="28">
        <v>35140</v>
      </c>
      <c r="BI127" s="28">
        <v>35220</v>
      </c>
      <c r="BJ127" s="28">
        <v>35300</v>
      </c>
      <c r="BK127" s="28">
        <v>35380</v>
      </c>
      <c r="BL127" s="28">
        <v>35460</v>
      </c>
    </row>
    <row r="128" spans="1:64" x14ac:dyDescent="0.2">
      <c r="A128" s="28">
        <v>18</v>
      </c>
      <c r="B128" s="80">
        <v>31140</v>
      </c>
      <c r="C128" s="80">
        <v>31370</v>
      </c>
      <c r="D128" s="80">
        <v>31770</v>
      </c>
      <c r="E128" s="80">
        <v>32780</v>
      </c>
      <c r="F128" s="80">
        <v>32130</v>
      </c>
      <c r="G128" s="80">
        <v>32140</v>
      </c>
      <c r="H128" s="80">
        <v>31760</v>
      </c>
      <c r="I128" s="80">
        <v>32160</v>
      </c>
      <c r="J128" s="80">
        <v>32930</v>
      </c>
      <c r="K128" s="80">
        <v>32750</v>
      </c>
      <c r="L128" s="28">
        <v>33130</v>
      </c>
      <c r="M128" s="28">
        <v>32990</v>
      </c>
      <c r="N128" s="28">
        <v>33950</v>
      </c>
      <c r="O128" s="28">
        <v>33090</v>
      </c>
      <c r="P128" s="28">
        <v>31640</v>
      </c>
      <c r="Q128" s="28">
        <v>31830</v>
      </c>
      <c r="R128" s="28">
        <v>32310</v>
      </c>
      <c r="S128" s="28">
        <v>32110</v>
      </c>
      <c r="T128" s="28">
        <v>32650</v>
      </c>
      <c r="U128" s="28">
        <v>34340</v>
      </c>
      <c r="V128" s="28">
        <v>35660</v>
      </c>
      <c r="W128" s="28">
        <v>36040</v>
      </c>
      <c r="X128" s="28">
        <v>36220</v>
      </c>
      <c r="Y128" s="28">
        <v>35550</v>
      </c>
      <c r="Z128" s="28">
        <v>35070</v>
      </c>
      <c r="AA128" s="28">
        <v>34760</v>
      </c>
      <c r="AB128" s="28">
        <v>34050</v>
      </c>
      <c r="AC128" s="28">
        <v>33970</v>
      </c>
      <c r="AD128" s="28">
        <v>33780</v>
      </c>
      <c r="AE128" s="28">
        <v>34220</v>
      </c>
      <c r="AF128" s="28">
        <v>34840</v>
      </c>
      <c r="AG128" s="28">
        <v>35390</v>
      </c>
      <c r="AH128" s="28">
        <v>35860</v>
      </c>
      <c r="AI128" s="28">
        <v>36230</v>
      </c>
      <c r="AJ128" s="28">
        <v>36480</v>
      </c>
      <c r="AK128" s="28">
        <v>36630</v>
      </c>
      <c r="AL128" s="28">
        <v>36700</v>
      </c>
      <c r="AM128" s="28">
        <v>36710</v>
      </c>
      <c r="AN128" s="28">
        <v>36640</v>
      </c>
      <c r="AO128" s="28">
        <v>36530</v>
      </c>
      <c r="AP128" s="28">
        <v>36360</v>
      </c>
      <c r="AQ128" s="28">
        <v>36160</v>
      </c>
      <c r="AR128" s="28">
        <v>35930</v>
      </c>
      <c r="AS128" s="28">
        <v>35690</v>
      </c>
      <c r="AT128" s="28">
        <v>35450</v>
      </c>
      <c r="AU128" s="28">
        <v>35230</v>
      </c>
      <c r="AV128" s="28">
        <v>35040</v>
      </c>
      <c r="AW128" s="28">
        <v>34890</v>
      </c>
      <c r="AX128" s="28">
        <v>34800</v>
      </c>
      <c r="AY128" s="28">
        <v>34760</v>
      </c>
      <c r="AZ128" s="28">
        <v>34760</v>
      </c>
      <c r="BA128" s="28">
        <v>34810</v>
      </c>
      <c r="BB128" s="28">
        <v>34890</v>
      </c>
      <c r="BC128" s="28">
        <v>34980</v>
      </c>
      <c r="BD128" s="28">
        <v>35090</v>
      </c>
      <c r="BE128" s="28">
        <v>35190</v>
      </c>
      <c r="BF128" s="28">
        <v>35290</v>
      </c>
      <c r="BG128" s="28">
        <v>35390</v>
      </c>
      <c r="BH128" s="28">
        <v>35480</v>
      </c>
      <c r="BI128" s="28">
        <v>35570</v>
      </c>
      <c r="BJ128" s="28">
        <v>35650</v>
      </c>
      <c r="BK128" s="28">
        <v>35730</v>
      </c>
      <c r="BL128" s="28">
        <v>35820</v>
      </c>
    </row>
    <row r="129" spans="1:64" x14ac:dyDescent="0.2">
      <c r="A129" s="28">
        <v>19</v>
      </c>
      <c r="B129" s="80">
        <v>30250</v>
      </c>
      <c r="C129" s="80">
        <v>30770</v>
      </c>
      <c r="D129" s="80">
        <v>31170</v>
      </c>
      <c r="E129" s="80">
        <v>31800</v>
      </c>
      <c r="F129" s="80">
        <v>33050</v>
      </c>
      <c r="G129" s="80">
        <v>32460</v>
      </c>
      <c r="H129" s="80">
        <v>32470</v>
      </c>
      <c r="I129" s="80">
        <v>32290</v>
      </c>
      <c r="J129" s="80">
        <v>33370</v>
      </c>
      <c r="K129" s="80">
        <v>34550</v>
      </c>
      <c r="L129" s="28">
        <v>34400</v>
      </c>
      <c r="M129" s="28">
        <v>34530</v>
      </c>
      <c r="N129" s="28">
        <v>34210</v>
      </c>
      <c r="O129" s="28">
        <v>35020</v>
      </c>
      <c r="P129" s="28">
        <v>33990</v>
      </c>
      <c r="Q129" s="28">
        <v>32380</v>
      </c>
      <c r="R129" s="28">
        <v>32390</v>
      </c>
      <c r="S129" s="28">
        <v>32880</v>
      </c>
      <c r="T129" s="28">
        <v>32670</v>
      </c>
      <c r="U129" s="28">
        <v>33220</v>
      </c>
      <c r="V129" s="28">
        <v>34900</v>
      </c>
      <c r="W129" s="28">
        <v>36220</v>
      </c>
      <c r="X129" s="28">
        <v>36600</v>
      </c>
      <c r="Y129" s="28">
        <v>36790</v>
      </c>
      <c r="Z129" s="28">
        <v>36110</v>
      </c>
      <c r="AA129" s="28">
        <v>35640</v>
      </c>
      <c r="AB129" s="28">
        <v>35330</v>
      </c>
      <c r="AC129" s="28">
        <v>34620</v>
      </c>
      <c r="AD129" s="28">
        <v>34540</v>
      </c>
      <c r="AE129" s="28">
        <v>34350</v>
      </c>
      <c r="AF129" s="28">
        <v>34790</v>
      </c>
      <c r="AG129" s="28">
        <v>35410</v>
      </c>
      <c r="AH129" s="28">
        <v>35960</v>
      </c>
      <c r="AI129" s="28">
        <v>36430</v>
      </c>
      <c r="AJ129" s="28">
        <v>36800</v>
      </c>
      <c r="AK129" s="28">
        <v>37050</v>
      </c>
      <c r="AL129" s="28">
        <v>37200</v>
      </c>
      <c r="AM129" s="28">
        <v>37270</v>
      </c>
      <c r="AN129" s="28">
        <v>37280</v>
      </c>
      <c r="AO129" s="28">
        <v>37220</v>
      </c>
      <c r="AP129" s="28">
        <v>37100</v>
      </c>
      <c r="AQ129" s="28">
        <v>36940</v>
      </c>
      <c r="AR129" s="28">
        <v>36730</v>
      </c>
      <c r="AS129" s="28">
        <v>36510</v>
      </c>
      <c r="AT129" s="28">
        <v>36260</v>
      </c>
      <c r="AU129" s="28">
        <v>36020</v>
      </c>
      <c r="AV129" s="28">
        <v>35800</v>
      </c>
      <c r="AW129" s="28">
        <v>35610</v>
      </c>
      <c r="AX129" s="28">
        <v>35470</v>
      </c>
      <c r="AY129" s="28">
        <v>35370</v>
      </c>
      <c r="AZ129" s="28">
        <v>35330</v>
      </c>
      <c r="BA129" s="28">
        <v>35340</v>
      </c>
      <c r="BB129" s="28">
        <v>35390</v>
      </c>
      <c r="BC129" s="28">
        <v>35460</v>
      </c>
      <c r="BD129" s="28">
        <v>35560</v>
      </c>
      <c r="BE129" s="28">
        <v>35660</v>
      </c>
      <c r="BF129" s="28">
        <v>35770</v>
      </c>
      <c r="BG129" s="28">
        <v>35870</v>
      </c>
      <c r="BH129" s="28">
        <v>35970</v>
      </c>
      <c r="BI129" s="28">
        <v>36060</v>
      </c>
      <c r="BJ129" s="28">
        <v>36150</v>
      </c>
      <c r="BK129" s="28">
        <v>36230</v>
      </c>
      <c r="BL129" s="28">
        <v>36310</v>
      </c>
    </row>
    <row r="130" spans="1:64" x14ac:dyDescent="0.2">
      <c r="A130" s="28">
        <v>20</v>
      </c>
      <c r="B130" s="80">
        <v>29830</v>
      </c>
      <c r="C130" s="80">
        <v>29900</v>
      </c>
      <c r="D130" s="80">
        <v>30470</v>
      </c>
      <c r="E130" s="80">
        <v>31180</v>
      </c>
      <c r="F130" s="80">
        <v>32100</v>
      </c>
      <c r="G130" s="80">
        <v>33380</v>
      </c>
      <c r="H130" s="80">
        <v>32580</v>
      </c>
      <c r="I130" s="80">
        <v>32810</v>
      </c>
      <c r="J130" s="80">
        <v>33420</v>
      </c>
      <c r="K130" s="80">
        <v>34970</v>
      </c>
      <c r="L130" s="28">
        <v>36190</v>
      </c>
      <c r="M130" s="28">
        <v>35870</v>
      </c>
      <c r="N130" s="28">
        <v>35790</v>
      </c>
      <c r="O130" s="28">
        <v>35280</v>
      </c>
      <c r="P130" s="28">
        <v>35880</v>
      </c>
      <c r="Q130" s="28">
        <v>34650</v>
      </c>
      <c r="R130" s="28">
        <v>32840</v>
      </c>
      <c r="S130" s="28">
        <v>32860</v>
      </c>
      <c r="T130" s="28">
        <v>33340</v>
      </c>
      <c r="U130" s="28">
        <v>33140</v>
      </c>
      <c r="V130" s="28">
        <v>33680</v>
      </c>
      <c r="W130" s="28">
        <v>35370</v>
      </c>
      <c r="X130" s="28">
        <v>36690</v>
      </c>
      <c r="Y130" s="28">
        <v>37070</v>
      </c>
      <c r="Z130" s="28">
        <v>37250</v>
      </c>
      <c r="AA130" s="28">
        <v>36580</v>
      </c>
      <c r="AB130" s="28">
        <v>36110</v>
      </c>
      <c r="AC130" s="28">
        <v>35790</v>
      </c>
      <c r="AD130" s="28">
        <v>35090</v>
      </c>
      <c r="AE130" s="28">
        <v>35000</v>
      </c>
      <c r="AF130" s="28">
        <v>34820</v>
      </c>
      <c r="AG130" s="28">
        <v>35260</v>
      </c>
      <c r="AH130" s="28">
        <v>35870</v>
      </c>
      <c r="AI130" s="28">
        <v>36430</v>
      </c>
      <c r="AJ130" s="28">
        <v>36900</v>
      </c>
      <c r="AK130" s="28">
        <v>37270</v>
      </c>
      <c r="AL130" s="28">
        <v>37520</v>
      </c>
      <c r="AM130" s="28">
        <v>37670</v>
      </c>
      <c r="AN130" s="28">
        <v>37740</v>
      </c>
      <c r="AO130" s="28">
        <v>37750</v>
      </c>
      <c r="AP130" s="28">
        <v>37690</v>
      </c>
      <c r="AQ130" s="28">
        <v>37570</v>
      </c>
      <c r="AR130" s="28">
        <v>37410</v>
      </c>
      <c r="AS130" s="28">
        <v>37210</v>
      </c>
      <c r="AT130" s="28">
        <v>36980</v>
      </c>
      <c r="AU130" s="28">
        <v>36730</v>
      </c>
      <c r="AV130" s="28">
        <v>36490</v>
      </c>
      <c r="AW130" s="28">
        <v>36270</v>
      </c>
      <c r="AX130" s="28">
        <v>36080</v>
      </c>
      <c r="AY130" s="28">
        <v>35940</v>
      </c>
      <c r="AZ130" s="28">
        <v>35840</v>
      </c>
      <c r="BA130" s="28">
        <v>35800</v>
      </c>
      <c r="BB130" s="28">
        <v>35810</v>
      </c>
      <c r="BC130" s="28">
        <v>35860</v>
      </c>
      <c r="BD130" s="28">
        <v>35940</v>
      </c>
      <c r="BE130" s="28">
        <v>36030</v>
      </c>
      <c r="BF130" s="28">
        <v>36140</v>
      </c>
      <c r="BG130" s="28">
        <v>36240</v>
      </c>
      <c r="BH130" s="28">
        <v>36340</v>
      </c>
      <c r="BI130" s="28">
        <v>36440</v>
      </c>
      <c r="BJ130" s="28">
        <v>36530</v>
      </c>
      <c r="BK130" s="28">
        <v>36620</v>
      </c>
      <c r="BL130" s="28">
        <v>36700</v>
      </c>
    </row>
    <row r="131" spans="1:64" x14ac:dyDescent="0.2">
      <c r="A131" s="28">
        <v>21</v>
      </c>
      <c r="B131" s="80">
        <v>29560</v>
      </c>
      <c r="C131" s="80">
        <v>29170</v>
      </c>
      <c r="D131" s="80">
        <v>29450</v>
      </c>
      <c r="E131" s="80">
        <v>30280</v>
      </c>
      <c r="F131" s="80">
        <v>31170</v>
      </c>
      <c r="G131" s="80">
        <v>32090</v>
      </c>
      <c r="H131" s="80">
        <v>33060</v>
      </c>
      <c r="I131" s="80">
        <v>32490</v>
      </c>
      <c r="J131" s="80">
        <v>33640</v>
      </c>
      <c r="K131" s="80">
        <v>34720</v>
      </c>
      <c r="L131" s="28">
        <v>36220</v>
      </c>
      <c r="M131" s="28">
        <v>37410</v>
      </c>
      <c r="N131" s="28">
        <v>36880</v>
      </c>
      <c r="O131" s="28">
        <v>36600</v>
      </c>
      <c r="P131" s="28">
        <v>35870</v>
      </c>
      <c r="Q131" s="28">
        <v>36260</v>
      </c>
      <c r="R131" s="28">
        <v>34820</v>
      </c>
      <c r="S131" s="28">
        <v>33010</v>
      </c>
      <c r="T131" s="28">
        <v>33030</v>
      </c>
      <c r="U131" s="28">
        <v>33520</v>
      </c>
      <c r="V131" s="28">
        <v>33310</v>
      </c>
      <c r="W131" s="28">
        <v>33860</v>
      </c>
      <c r="X131" s="28">
        <v>35540</v>
      </c>
      <c r="Y131" s="28">
        <v>36860</v>
      </c>
      <c r="Z131" s="28">
        <v>37240</v>
      </c>
      <c r="AA131" s="28">
        <v>37430</v>
      </c>
      <c r="AB131" s="28">
        <v>36760</v>
      </c>
      <c r="AC131" s="28">
        <v>36290</v>
      </c>
      <c r="AD131" s="28">
        <v>35970</v>
      </c>
      <c r="AE131" s="28">
        <v>35270</v>
      </c>
      <c r="AF131" s="28">
        <v>35180</v>
      </c>
      <c r="AG131" s="28">
        <v>35000</v>
      </c>
      <c r="AH131" s="28">
        <v>35440</v>
      </c>
      <c r="AI131" s="28">
        <v>36060</v>
      </c>
      <c r="AJ131" s="28">
        <v>36610</v>
      </c>
      <c r="AK131" s="28">
        <v>37080</v>
      </c>
      <c r="AL131" s="28">
        <v>37450</v>
      </c>
      <c r="AM131" s="28">
        <v>37700</v>
      </c>
      <c r="AN131" s="28">
        <v>37850</v>
      </c>
      <c r="AO131" s="28">
        <v>37920</v>
      </c>
      <c r="AP131" s="28">
        <v>37930</v>
      </c>
      <c r="AQ131" s="28">
        <v>37870</v>
      </c>
      <c r="AR131" s="28">
        <v>37750</v>
      </c>
      <c r="AS131" s="28">
        <v>37590</v>
      </c>
      <c r="AT131" s="28">
        <v>37390</v>
      </c>
      <c r="AU131" s="28">
        <v>37160</v>
      </c>
      <c r="AV131" s="28">
        <v>36920</v>
      </c>
      <c r="AW131" s="28">
        <v>36680</v>
      </c>
      <c r="AX131" s="28">
        <v>36460</v>
      </c>
      <c r="AY131" s="28">
        <v>36270</v>
      </c>
      <c r="AZ131" s="28">
        <v>36120</v>
      </c>
      <c r="BA131" s="28">
        <v>36030</v>
      </c>
      <c r="BB131" s="28">
        <v>35990</v>
      </c>
      <c r="BC131" s="28">
        <v>36000</v>
      </c>
      <c r="BD131" s="28">
        <v>36050</v>
      </c>
      <c r="BE131" s="28">
        <v>36130</v>
      </c>
      <c r="BF131" s="28">
        <v>36220</v>
      </c>
      <c r="BG131" s="28">
        <v>36320</v>
      </c>
      <c r="BH131" s="28">
        <v>36430</v>
      </c>
      <c r="BI131" s="28">
        <v>36530</v>
      </c>
      <c r="BJ131" s="28">
        <v>36630</v>
      </c>
      <c r="BK131" s="28">
        <v>36720</v>
      </c>
      <c r="BL131" s="28">
        <v>36810</v>
      </c>
    </row>
    <row r="132" spans="1:64" x14ac:dyDescent="0.2">
      <c r="A132" s="28">
        <v>22</v>
      </c>
      <c r="B132" s="80">
        <v>29400</v>
      </c>
      <c r="C132" s="80">
        <v>28750</v>
      </c>
      <c r="D132" s="80">
        <v>28560</v>
      </c>
      <c r="E132" s="80">
        <v>29170</v>
      </c>
      <c r="F132" s="80">
        <v>30130</v>
      </c>
      <c r="G132" s="80">
        <v>30860</v>
      </c>
      <c r="H132" s="80">
        <v>31510</v>
      </c>
      <c r="I132" s="80">
        <v>32760</v>
      </c>
      <c r="J132" s="80">
        <v>33320</v>
      </c>
      <c r="K132" s="80">
        <v>35180</v>
      </c>
      <c r="L132" s="28">
        <v>35960</v>
      </c>
      <c r="M132" s="28">
        <v>37520</v>
      </c>
      <c r="N132" s="28">
        <v>38460</v>
      </c>
      <c r="O132" s="28">
        <v>37680</v>
      </c>
      <c r="P132" s="28">
        <v>37140</v>
      </c>
      <c r="Q132" s="28">
        <v>36160</v>
      </c>
      <c r="R132" s="28">
        <v>36290</v>
      </c>
      <c r="S132" s="28">
        <v>34860</v>
      </c>
      <c r="T132" s="28">
        <v>33050</v>
      </c>
      <c r="U132" s="28">
        <v>33070</v>
      </c>
      <c r="V132" s="28">
        <v>33550</v>
      </c>
      <c r="W132" s="28">
        <v>33350</v>
      </c>
      <c r="X132" s="28">
        <v>33900</v>
      </c>
      <c r="Y132" s="28">
        <v>35580</v>
      </c>
      <c r="Z132" s="28">
        <v>36900</v>
      </c>
      <c r="AA132" s="28">
        <v>37280</v>
      </c>
      <c r="AB132" s="28">
        <v>37460</v>
      </c>
      <c r="AC132" s="28">
        <v>36790</v>
      </c>
      <c r="AD132" s="28">
        <v>36320</v>
      </c>
      <c r="AE132" s="28">
        <v>36010</v>
      </c>
      <c r="AF132" s="28">
        <v>35310</v>
      </c>
      <c r="AG132" s="28">
        <v>35220</v>
      </c>
      <c r="AH132" s="28">
        <v>35040</v>
      </c>
      <c r="AI132" s="28">
        <v>35480</v>
      </c>
      <c r="AJ132" s="28">
        <v>36090</v>
      </c>
      <c r="AK132" s="28">
        <v>36650</v>
      </c>
      <c r="AL132" s="28">
        <v>37120</v>
      </c>
      <c r="AM132" s="28">
        <v>37490</v>
      </c>
      <c r="AN132" s="28">
        <v>37740</v>
      </c>
      <c r="AO132" s="28">
        <v>37890</v>
      </c>
      <c r="AP132" s="28">
        <v>37960</v>
      </c>
      <c r="AQ132" s="28">
        <v>37970</v>
      </c>
      <c r="AR132" s="28">
        <v>37910</v>
      </c>
      <c r="AS132" s="28">
        <v>37790</v>
      </c>
      <c r="AT132" s="28">
        <v>37630</v>
      </c>
      <c r="AU132" s="28">
        <v>37430</v>
      </c>
      <c r="AV132" s="28">
        <v>37200</v>
      </c>
      <c r="AW132" s="28">
        <v>36960</v>
      </c>
      <c r="AX132" s="28">
        <v>36720</v>
      </c>
      <c r="AY132" s="28">
        <v>36500</v>
      </c>
      <c r="AZ132" s="28">
        <v>36310</v>
      </c>
      <c r="BA132" s="28">
        <v>36170</v>
      </c>
      <c r="BB132" s="28">
        <v>36070</v>
      </c>
      <c r="BC132" s="28">
        <v>36030</v>
      </c>
      <c r="BD132" s="28">
        <v>36040</v>
      </c>
      <c r="BE132" s="28">
        <v>36090</v>
      </c>
      <c r="BF132" s="28">
        <v>36170</v>
      </c>
      <c r="BG132" s="28">
        <v>36260</v>
      </c>
      <c r="BH132" s="28">
        <v>36370</v>
      </c>
      <c r="BI132" s="28">
        <v>36470</v>
      </c>
      <c r="BJ132" s="28">
        <v>36580</v>
      </c>
      <c r="BK132" s="28">
        <v>36680</v>
      </c>
      <c r="BL132" s="28">
        <v>36770</v>
      </c>
    </row>
    <row r="133" spans="1:64" x14ac:dyDescent="0.2">
      <c r="A133" s="28">
        <v>23</v>
      </c>
      <c r="B133" s="80">
        <v>29090</v>
      </c>
      <c r="C133" s="80">
        <v>28510</v>
      </c>
      <c r="D133" s="80">
        <v>28050</v>
      </c>
      <c r="E133" s="80">
        <v>28280</v>
      </c>
      <c r="F133" s="80">
        <v>28950</v>
      </c>
      <c r="G133" s="80">
        <v>29690</v>
      </c>
      <c r="H133" s="80">
        <v>30250</v>
      </c>
      <c r="I133" s="80">
        <v>31220</v>
      </c>
      <c r="J133" s="80">
        <v>33660</v>
      </c>
      <c r="K133" s="80">
        <v>35120</v>
      </c>
      <c r="L133" s="28">
        <v>36870</v>
      </c>
      <c r="M133" s="28">
        <v>37510</v>
      </c>
      <c r="N133" s="28">
        <v>38770</v>
      </c>
      <c r="O133" s="28">
        <v>39400</v>
      </c>
      <c r="P133" s="28">
        <v>38320</v>
      </c>
      <c r="Q133" s="28">
        <v>37470</v>
      </c>
      <c r="R133" s="28">
        <v>36190</v>
      </c>
      <c r="S133" s="28">
        <v>36330</v>
      </c>
      <c r="T133" s="28">
        <v>34890</v>
      </c>
      <c r="U133" s="28">
        <v>33090</v>
      </c>
      <c r="V133" s="28">
        <v>33110</v>
      </c>
      <c r="W133" s="28">
        <v>33590</v>
      </c>
      <c r="X133" s="28">
        <v>33390</v>
      </c>
      <c r="Y133" s="28">
        <v>33930</v>
      </c>
      <c r="Z133" s="28">
        <v>35620</v>
      </c>
      <c r="AA133" s="28">
        <v>36940</v>
      </c>
      <c r="AB133" s="28">
        <v>37320</v>
      </c>
      <c r="AC133" s="28">
        <v>37500</v>
      </c>
      <c r="AD133" s="28">
        <v>36830</v>
      </c>
      <c r="AE133" s="28">
        <v>36360</v>
      </c>
      <c r="AF133" s="28">
        <v>36050</v>
      </c>
      <c r="AG133" s="28">
        <v>35350</v>
      </c>
      <c r="AH133" s="28">
        <v>35260</v>
      </c>
      <c r="AI133" s="28">
        <v>35080</v>
      </c>
      <c r="AJ133" s="28">
        <v>35520</v>
      </c>
      <c r="AK133" s="28">
        <v>36140</v>
      </c>
      <c r="AL133" s="28">
        <v>36690</v>
      </c>
      <c r="AM133" s="28">
        <v>37160</v>
      </c>
      <c r="AN133" s="28">
        <v>37530</v>
      </c>
      <c r="AO133" s="28">
        <v>37780</v>
      </c>
      <c r="AP133" s="28">
        <v>37930</v>
      </c>
      <c r="AQ133" s="28">
        <v>38010</v>
      </c>
      <c r="AR133" s="28">
        <v>38010</v>
      </c>
      <c r="AS133" s="28">
        <v>37950</v>
      </c>
      <c r="AT133" s="28">
        <v>37840</v>
      </c>
      <c r="AU133" s="28">
        <v>37680</v>
      </c>
      <c r="AV133" s="28">
        <v>37480</v>
      </c>
      <c r="AW133" s="28">
        <v>37250</v>
      </c>
      <c r="AX133" s="28">
        <v>37010</v>
      </c>
      <c r="AY133" s="28">
        <v>36770</v>
      </c>
      <c r="AZ133" s="28">
        <v>36550</v>
      </c>
      <c r="BA133" s="28">
        <v>36360</v>
      </c>
      <c r="BB133" s="28">
        <v>36210</v>
      </c>
      <c r="BC133" s="28">
        <v>36120</v>
      </c>
      <c r="BD133" s="28">
        <v>36080</v>
      </c>
      <c r="BE133" s="28">
        <v>36090</v>
      </c>
      <c r="BF133" s="28">
        <v>36140</v>
      </c>
      <c r="BG133" s="28">
        <v>36220</v>
      </c>
      <c r="BH133" s="28">
        <v>36310</v>
      </c>
      <c r="BI133" s="28">
        <v>36420</v>
      </c>
      <c r="BJ133" s="28">
        <v>36520</v>
      </c>
      <c r="BK133" s="28">
        <v>36630</v>
      </c>
      <c r="BL133" s="28">
        <v>36720</v>
      </c>
    </row>
    <row r="134" spans="1:64" x14ac:dyDescent="0.2">
      <c r="A134" s="28">
        <v>24</v>
      </c>
      <c r="B134" s="80">
        <v>27970</v>
      </c>
      <c r="C134" s="80">
        <v>28320</v>
      </c>
      <c r="D134" s="80">
        <v>27860</v>
      </c>
      <c r="E134" s="80">
        <v>27710</v>
      </c>
      <c r="F134" s="80">
        <v>28100</v>
      </c>
      <c r="G134" s="80">
        <v>28460</v>
      </c>
      <c r="H134" s="80">
        <v>28950</v>
      </c>
      <c r="I134" s="80">
        <v>29910</v>
      </c>
      <c r="J134" s="80">
        <v>32280</v>
      </c>
      <c r="K134" s="80">
        <v>35460</v>
      </c>
      <c r="L134" s="28">
        <v>36930</v>
      </c>
      <c r="M134" s="28">
        <v>38470</v>
      </c>
      <c r="N134" s="28">
        <v>38790</v>
      </c>
      <c r="O134" s="28">
        <v>39740</v>
      </c>
      <c r="P134" s="28">
        <v>40060</v>
      </c>
      <c r="Q134" s="28">
        <v>38670</v>
      </c>
      <c r="R134" s="28">
        <v>37510</v>
      </c>
      <c r="S134" s="28">
        <v>36230</v>
      </c>
      <c r="T134" s="28">
        <v>36370</v>
      </c>
      <c r="U134" s="28">
        <v>34930</v>
      </c>
      <c r="V134" s="28">
        <v>33130</v>
      </c>
      <c r="W134" s="28">
        <v>33150</v>
      </c>
      <c r="X134" s="28">
        <v>33640</v>
      </c>
      <c r="Y134" s="28">
        <v>33430</v>
      </c>
      <c r="Z134" s="28">
        <v>33980</v>
      </c>
      <c r="AA134" s="28">
        <v>35660</v>
      </c>
      <c r="AB134" s="28">
        <v>36980</v>
      </c>
      <c r="AC134" s="28">
        <v>37360</v>
      </c>
      <c r="AD134" s="28">
        <v>37550</v>
      </c>
      <c r="AE134" s="28">
        <v>36880</v>
      </c>
      <c r="AF134" s="28">
        <v>36410</v>
      </c>
      <c r="AG134" s="28">
        <v>36100</v>
      </c>
      <c r="AH134" s="28">
        <v>35390</v>
      </c>
      <c r="AI134" s="28">
        <v>35310</v>
      </c>
      <c r="AJ134" s="28">
        <v>35130</v>
      </c>
      <c r="AK134" s="28">
        <v>35570</v>
      </c>
      <c r="AL134" s="28">
        <v>36180</v>
      </c>
      <c r="AM134" s="28">
        <v>36740</v>
      </c>
      <c r="AN134" s="28">
        <v>37210</v>
      </c>
      <c r="AO134" s="28">
        <v>37580</v>
      </c>
      <c r="AP134" s="28">
        <v>37830</v>
      </c>
      <c r="AQ134" s="28">
        <v>37980</v>
      </c>
      <c r="AR134" s="28">
        <v>38060</v>
      </c>
      <c r="AS134" s="28">
        <v>38060</v>
      </c>
      <c r="AT134" s="28">
        <v>38000</v>
      </c>
      <c r="AU134" s="28">
        <v>37890</v>
      </c>
      <c r="AV134" s="28">
        <v>37730</v>
      </c>
      <c r="AW134" s="28">
        <v>37530</v>
      </c>
      <c r="AX134" s="28">
        <v>37300</v>
      </c>
      <c r="AY134" s="28">
        <v>37060</v>
      </c>
      <c r="AZ134" s="28">
        <v>36820</v>
      </c>
      <c r="BA134" s="28">
        <v>36600</v>
      </c>
      <c r="BB134" s="28">
        <v>36410</v>
      </c>
      <c r="BC134" s="28">
        <v>36270</v>
      </c>
      <c r="BD134" s="28">
        <v>36170</v>
      </c>
      <c r="BE134" s="28">
        <v>36140</v>
      </c>
      <c r="BF134" s="28">
        <v>36140</v>
      </c>
      <c r="BG134" s="28">
        <v>36190</v>
      </c>
      <c r="BH134" s="28">
        <v>36270</v>
      </c>
      <c r="BI134" s="28">
        <v>36370</v>
      </c>
      <c r="BJ134" s="28">
        <v>36470</v>
      </c>
      <c r="BK134" s="28">
        <v>36580</v>
      </c>
      <c r="BL134" s="28">
        <v>36680</v>
      </c>
    </row>
    <row r="135" spans="1:64" x14ac:dyDescent="0.2">
      <c r="A135" s="28">
        <v>25</v>
      </c>
      <c r="B135" s="80">
        <v>26850</v>
      </c>
      <c r="C135" s="80">
        <v>27330</v>
      </c>
      <c r="D135" s="80">
        <v>27690</v>
      </c>
      <c r="E135" s="80">
        <v>27550</v>
      </c>
      <c r="F135" s="80">
        <v>27400</v>
      </c>
      <c r="G135" s="80">
        <v>27490</v>
      </c>
      <c r="H135" s="80">
        <v>27780</v>
      </c>
      <c r="I135" s="80">
        <v>28550</v>
      </c>
      <c r="J135" s="80">
        <v>30920</v>
      </c>
      <c r="K135" s="80">
        <v>33930</v>
      </c>
      <c r="L135" s="28">
        <v>37210</v>
      </c>
      <c r="M135" s="28">
        <v>38460</v>
      </c>
      <c r="N135" s="28">
        <v>39700</v>
      </c>
      <c r="O135" s="28">
        <v>39730</v>
      </c>
      <c r="P135" s="28">
        <v>40380</v>
      </c>
      <c r="Q135" s="28">
        <v>40410</v>
      </c>
      <c r="R135" s="28">
        <v>38720</v>
      </c>
      <c r="S135" s="28">
        <v>37570</v>
      </c>
      <c r="T135" s="28">
        <v>36290</v>
      </c>
      <c r="U135" s="28">
        <v>36420</v>
      </c>
      <c r="V135" s="28">
        <v>34990</v>
      </c>
      <c r="W135" s="28">
        <v>33190</v>
      </c>
      <c r="X135" s="28">
        <v>33210</v>
      </c>
      <c r="Y135" s="28">
        <v>33690</v>
      </c>
      <c r="Z135" s="28">
        <v>33490</v>
      </c>
      <c r="AA135" s="28">
        <v>34040</v>
      </c>
      <c r="AB135" s="28">
        <v>35720</v>
      </c>
      <c r="AC135" s="28">
        <v>37040</v>
      </c>
      <c r="AD135" s="28">
        <v>37420</v>
      </c>
      <c r="AE135" s="28">
        <v>37610</v>
      </c>
      <c r="AF135" s="28">
        <v>36940</v>
      </c>
      <c r="AG135" s="28">
        <v>36470</v>
      </c>
      <c r="AH135" s="28">
        <v>36160</v>
      </c>
      <c r="AI135" s="28">
        <v>35460</v>
      </c>
      <c r="AJ135" s="28">
        <v>35370</v>
      </c>
      <c r="AK135" s="28">
        <v>35190</v>
      </c>
      <c r="AL135" s="28">
        <v>35630</v>
      </c>
      <c r="AM135" s="28">
        <v>36250</v>
      </c>
      <c r="AN135" s="28">
        <v>36800</v>
      </c>
      <c r="AO135" s="28">
        <v>37270</v>
      </c>
      <c r="AP135" s="28">
        <v>37640</v>
      </c>
      <c r="AQ135" s="28">
        <v>37890</v>
      </c>
      <c r="AR135" s="28">
        <v>38040</v>
      </c>
      <c r="AS135" s="28">
        <v>38120</v>
      </c>
      <c r="AT135" s="28">
        <v>38120</v>
      </c>
      <c r="AU135" s="28">
        <v>38070</v>
      </c>
      <c r="AV135" s="28">
        <v>37950</v>
      </c>
      <c r="AW135" s="28">
        <v>37790</v>
      </c>
      <c r="AX135" s="28">
        <v>37590</v>
      </c>
      <c r="AY135" s="28">
        <v>37360</v>
      </c>
      <c r="AZ135" s="28">
        <v>37120</v>
      </c>
      <c r="BA135" s="28">
        <v>36880</v>
      </c>
      <c r="BB135" s="28">
        <v>36660</v>
      </c>
      <c r="BC135" s="28">
        <v>36480</v>
      </c>
      <c r="BD135" s="28">
        <v>36330</v>
      </c>
      <c r="BE135" s="28">
        <v>36240</v>
      </c>
      <c r="BF135" s="28">
        <v>36200</v>
      </c>
      <c r="BG135" s="28">
        <v>36210</v>
      </c>
      <c r="BH135" s="28">
        <v>36260</v>
      </c>
      <c r="BI135" s="28">
        <v>36340</v>
      </c>
      <c r="BJ135" s="28">
        <v>36430</v>
      </c>
      <c r="BK135" s="28">
        <v>36540</v>
      </c>
      <c r="BL135" s="28">
        <v>36640</v>
      </c>
    </row>
    <row r="136" spans="1:64" x14ac:dyDescent="0.2">
      <c r="A136" s="28">
        <v>26</v>
      </c>
      <c r="B136" s="80">
        <v>25810</v>
      </c>
      <c r="C136" s="80">
        <v>26520</v>
      </c>
      <c r="D136" s="80">
        <v>26680</v>
      </c>
      <c r="E136" s="80">
        <v>27300</v>
      </c>
      <c r="F136" s="80">
        <v>27360</v>
      </c>
      <c r="G136" s="80">
        <v>26870</v>
      </c>
      <c r="H136" s="80">
        <v>26900</v>
      </c>
      <c r="I136" s="80">
        <v>27500</v>
      </c>
      <c r="J136" s="80">
        <v>29460</v>
      </c>
      <c r="K136" s="80">
        <v>32350</v>
      </c>
      <c r="L136" s="28">
        <v>35620</v>
      </c>
      <c r="M136" s="28">
        <v>38570</v>
      </c>
      <c r="N136" s="28">
        <v>39560</v>
      </c>
      <c r="O136" s="28">
        <v>40550</v>
      </c>
      <c r="P136" s="28">
        <v>40320</v>
      </c>
      <c r="Q136" s="28">
        <v>40710</v>
      </c>
      <c r="R136" s="28">
        <v>40470</v>
      </c>
      <c r="S136" s="28">
        <v>38780</v>
      </c>
      <c r="T136" s="28">
        <v>37630</v>
      </c>
      <c r="U136" s="28">
        <v>36360</v>
      </c>
      <c r="V136" s="28">
        <v>36490</v>
      </c>
      <c r="W136" s="28">
        <v>35060</v>
      </c>
      <c r="X136" s="28">
        <v>33260</v>
      </c>
      <c r="Y136" s="28">
        <v>33280</v>
      </c>
      <c r="Z136" s="28">
        <v>33770</v>
      </c>
      <c r="AA136" s="28">
        <v>33560</v>
      </c>
      <c r="AB136" s="28">
        <v>34110</v>
      </c>
      <c r="AC136" s="28">
        <v>35790</v>
      </c>
      <c r="AD136" s="28">
        <v>37110</v>
      </c>
      <c r="AE136" s="28">
        <v>37490</v>
      </c>
      <c r="AF136" s="28">
        <v>37680</v>
      </c>
      <c r="AG136" s="28">
        <v>37010</v>
      </c>
      <c r="AH136" s="28">
        <v>36540</v>
      </c>
      <c r="AI136" s="28">
        <v>36230</v>
      </c>
      <c r="AJ136" s="28">
        <v>35530</v>
      </c>
      <c r="AK136" s="28">
        <v>35450</v>
      </c>
      <c r="AL136" s="28">
        <v>35260</v>
      </c>
      <c r="AM136" s="28">
        <v>35710</v>
      </c>
      <c r="AN136" s="28">
        <v>36320</v>
      </c>
      <c r="AO136" s="28">
        <v>36870</v>
      </c>
      <c r="AP136" s="28">
        <v>37350</v>
      </c>
      <c r="AQ136" s="28">
        <v>37720</v>
      </c>
      <c r="AR136" s="28">
        <v>37970</v>
      </c>
      <c r="AS136" s="28">
        <v>38120</v>
      </c>
      <c r="AT136" s="28">
        <v>38200</v>
      </c>
      <c r="AU136" s="28">
        <v>38200</v>
      </c>
      <c r="AV136" s="28">
        <v>38140</v>
      </c>
      <c r="AW136" s="28">
        <v>38030</v>
      </c>
      <c r="AX136" s="28">
        <v>37870</v>
      </c>
      <c r="AY136" s="28">
        <v>37670</v>
      </c>
      <c r="AZ136" s="28">
        <v>37440</v>
      </c>
      <c r="BA136" s="28">
        <v>37200</v>
      </c>
      <c r="BB136" s="28">
        <v>36960</v>
      </c>
      <c r="BC136" s="28">
        <v>36740</v>
      </c>
      <c r="BD136" s="28">
        <v>36560</v>
      </c>
      <c r="BE136" s="28">
        <v>36410</v>
      </c>
      <c r="BF136" s="28">
        <v>36320</v>
      </c>
      <c r="BG136" s="28">
        <v>36280</v>
      </c>
      <c r="BH136" s="28">
        <v>36290</v>
      </c>
      <c r="BI136" s="28">
        <v>36340</v>
      </c>
      <c r="BJ136" s="28">
        <v>36420</v>
      </c>
      <c r="BK136" s="28">
        <v>36510</v>
      </c>
      <c r="BL136" s="28">
        <v>36620</v>
      </c>
    </row>
    <row r="137" spans="1:64" x14ac:dyDescent="0.2">
      <c r="A137" s="28">
        <v>27</v>
      </c>
      <c r="B137" s="80">
        <v>24950</v>
      </c>
      <c r="C137" s="80">
        <v>25500</v>
      </c>
      <c r="D137" s="80">
        <v>26180</v>
      </c>
      <c r="E137" s="80">
        <v>26500</v>
      </c>
      <c r="F137" s="80">
        <v>27160</v>
      </c>
      <c r="G137" s="80">
        <v>26830</v>
      </c>
      <c r="H137" s="80">
        <v>26330</v>
      </c>
      <c r="I137" s="80">
        <v>26710</v>
      </c>
      <c r="J137" s="80">
        <v>28340</v>
      </c>
      <c r="K137" s="80">
        <v>30790</v>
      </c>
      <c r="L137" s="28">
        <v>33750</v>
      </c>
      <c r="M137" s="28">
        <v>36870</v>
      </c>
      <c r="N137" s="28">
        <v>39590</v>
      </c>
      <c r="O137" s="28">
        <v>40340</v>
      </c>
      <c r="P137" s="28">
        <v>41100</v>
      </c>
      <c r="Q137" s="28">
        <v>40640</v>
      </c>
      <c r="R137" s="28">
        <v>40800</v>
      </c>
      <c r="S137" s="28">
        <v>40570</v>
      </c>
      <c r="T137" s="28">
        <v>38880</v>
      </c>
      <c r="U137" s="28">
        <v>37730</v>
      </c>
      <c r="V137" s="28">
        <v>36450</v>
      </c>
      <c r="W137" s="28">
        <v>36590</v>
      </c>
      <c r="X137" s="28">
        <v>35160</v>
      </c>
      <c r="Y137" s="28">
        <v>33360</v>
      </c>
      <c r="Z137" s="28">
        <v>33380</v>
      </c>
      <c r="AA137" s="28">
        <v>33870</v>
      </c>
      <c r="AB137" s="28">
        <v>33660</v>
      </c>
      <c r="AC137" s="28">
        <v>34210</v>
      </c>
      <c r="AD137" s="28">
        <v>35890</v>
      </c>
      <c r="AE137" s="28">
        <v>37210</v>
      </c>
      <c r="AF137" s="28">
        <v>37590</v>
      </c>
      <c r="AG137" s="28">
        <v>37780</v>
      </c>
      <c r="AH137" s="28">
        <v>37110</v>
      </c>
      <c r="AI137" s="28">
        <v>36640</v>
      </c>
      <c r="AJ137" s="28">
        <v>36330</v>
      </c>
      <c r="AK137" s="28">
        <v>35630</v>
      </c>
      <c r="AL137" s="28">
        <v>35550</v>
      </c>
      <c r="AM137" s="28">
        <v>35370</v>
      </c>
      <c r="AN137" s="28">
        <v>35810</v>
      </c>
      <c r="AO137" s="28">
        <v>36420</v>
      </c>
      <c r="AP137" s="28">
        <v>36980</v>
      </c>
      <c r="AQ137" s="28">
        <v>37450</v>
      </c>
      <c r="AR137" s="28">
        <v>37820</v>
      </c>
      <c r="AS137" s="28">
        <v>38070</v>
      </c>
      <c r="AT137" s="28">
        <v>38220</v>
      </c>
      <c r="AU137" s="28">
        <v>38300</v>
      </c>
      <c r="AV137" s="28">
        <v>38310</v>
      </c>
      <c r="AW137" s="28">
        <v>38250</v>
      </c>
      <c r="AX137" s="28">
        <v>38130</v>
      </c>
      <c r="AY137" s="28">
        <v>37970</v>
      </c>
      <c r="AZ137" s="28">
        <v>37770</v>
      </c>
      <c r="BA137" s="28">
        <v>37550</v>
      </c>
      <c r="BB137" s="28">
        <v>37310</v>
      </c>
      <c r="BC137" s="28">
        <v>37070</v>
      </c>
      <c r="BD137" s="28">
        <v>36850</v>
      </c>
      <c r="BE137" s="28">
        <v>36660</v>
      </c>
      <c r="BF137" s="28">
        <v>36520</v>
      </c>
      <c r="BG137" s="28">
        <v>36430</v>
      </c>
      <c r="BH137" s="28">
        <v>36390</v>
      </c>
      <c r="BI137" s="28">
        <v>36400</v>
      </c>
      <c r="BJ137" s="28">
        <v>36450</v>
      </c>
      <c r="BK137" s="28">
        <v>36530</v>
      </c>
      <c r="BL137" s="28">
        <v>36620</v>
      </c>
    </row>
    <row r="138" spans="1:64" x14ac:dyDescent="0.2">
      <c r="A138" s="28">
        <v>28</v>
      </c>
      <c r="B138" s="80">
        <v>24310</v>
      </c>
      <c r="C138" s="80">
        <v>25050</v>
      </c>
      <c r="D138" s="80">
        <v>25420</v>
      </c>
      <c r="E138" s="80">
        <v>26210</v>
      </c>
      <c r="F138" s="80">
        <v>26400</v>
      </c>
      <c r="G138" s="80">
        <v>26740</v>
      </c>
      <c r="H138" s="80">
        <v>26420</v>
      </c>
      <c r="I138" s="80">
        <v>26240</v>
      </c>
      <c r="J138" s="80">
        <v>27610</v>
      </c>
      <c r="K138" s="80">
        <v>29680</v>
      </c>
      <c r="L138" s="28">
        <v>32170</v>
      </c>
      <c r="M138" s="28">
        <v>34970</v>
      </c>
      <c r="N138" s="28">
        <v>37890</v>
      </c>
      <c r="O138" s="28">
        <v>40420</v>
      </c>
      <c r="P138" s="28">
        <v>40980</v>
      </c>
      <c r="Q138" s="28">
        <v>41530</v>
      </c>
      <c r="R138" s="28">
        <v>40880</v>
      </c>
      <c r="S138" s="28">
        <v>41040</v>
      </c>
      <c r="T138" s="28">
        <v>40810</v>
      </c>
      <c r="U138" s="28">
        <v>39120</v>
      </c>
      <c r="V138" s="28">
        <v>37980</v>
      </c>
      <c r="W138" s="28">
        <v>36700</v>
      </c>
      <c r="X138" s="28">
        <v>36840</v>
      </c>
      <c r="Y138" s="28">
        <v>35410</v>
      </c>
      <c r="Z138" s="28">
        <v>33610</v>
      </c>
      <c r="AA138" s="28">
        <v>33630</v>
      </c>
      <c r="AB138" s="28">
        <v>34120</v>
      </c>
      <c r="AC138" s="28">
        <v>33910</v>
      </c>
      <c r="AD138" s="28">
        <v>34460</v>
      </c>
      <c r="AE138" s="28">
        <v>36140</v>
      </c>
      <c r="AF138" s="28">
        <v>37460</v>
      </c>
      <c r="AG138" s="28">
        <v>37840</v>
      </c>
      <c r="AH138" s="28">
        <v>38030</v>
      </c>
      <c r="AI138" s="28">
        <v>37360</v>
      </c>
      <c r="AJ138" s="28">
        <v>36890</v>
      </c>
      <c r="AK138" s="28">
        <v>36580</v>
      </c>
      <c r="AL138" s="28">
        <v>35890</v>
      </c>
      <c r="AM138" s="28">
        <v>35800</v>
      </c>
      <c r="AN138" s="28">
        <v>35620</v>
      </c>
      <c r="AO138" s="28">
        <v>36060</v>
      </c>
      <c r="AP138" s="28">
        <v>36680</v>
      </c>
      <c r="AQ138" s="28">
        <v>37230</v>
      </c>
      <c r="AR138" s="28">
        <v>37700</v>
      </c>
      <c r="AS138" s="28">
        <v>38080</v>
      </c>
      <c r="AT138" s="28">
        <v>38330</v>
      </c>
      <c r="AU138" s="28">
        <v>38480</v>
      </c>
      <c r="AV138" s="28">
        <v>38560</v>
      </c>
      <c r="AW138" s="28">
        <v>38560</v>
      </c>
      <c r="AX138" s="28">
        <v>38500</v>
      </c>
      <c r="AY138" s="28">
        <v>38390</v>
      </c>
      <c r="AZ138" s="28">
        <v>38230</v>
      </c>
      <c r="BA138" s="28">
        <v>38030</v>
      </c>
      <c r="BB138" s="28">
        <v>37800</v>
      </c>
      <c r="BC138" s="28">
        <v>37560</v>
      </c>
      <c r="BD138" s="28">
        <v>37330</v>
      </c>
      <c r="BE138" s="28">
        <v>37110</v>
      </c>
      <c r="BF138" s="28">
        <v>36920</v>
      </c>
      <c r="BG138" s="28">
        <v>36780</v>
      </c>
      <c r="BH138" s="28">
        <v>36690</v>
      </c>
      <c r="BI138" s="28">
        <v>36650</v>
      </c>
      <c r="BJ138" s="28">
        <v>36660</v>
      </c>
      <c r="BK138" s="28">
        <v>36710</v>
      </c>
      <c r="BL138" s="28">
        <v>36790</v>
      </c>
    </row>
    <row r="139" spans="1:64" x14ac:dyDescent="0.2">
      <c r="A139" s="28">
        <v>29</v>
      </c>
      <c r="B139" s="80">
        <v>24860</v>
      </c>
      <c r="C139" s="80">
        <v>24580</v>
      </c>
      <c r="D139" s="80">
        <v>25170</v>
      </c>
      <c r="E139" s="80">
        <v>25650</v>
      </c>
      <c r="F139" s="80">
        <v>26170</v>
      </c>
      <c r="G139" s="80">
        <v>26150</v>
      </c>
      <c r="H139" s="80">
        <v>26520</v>
      </c>
      <c r="I139" s="80">
        <v>26330</v>
      </c>
      <c r="J139" s="80">
        <v>27060</v>
      </c>
      <c r="K139" s="80">
        <v>28820</v>
      </c>
      <c r="L139" s="28">
        <v>31080</v>
      </c>
      <c r="M139" s="28">
        <v>33340</v>
      </c>
      <c r="N139" s="28">
        <v>35980</v>
      </c>
      <c r="O139" s="28">
        <v>38750</v>
      </c>
      <c r="P139" s="28">
        <v>41110</v>
      </c>
      <c r="Q139" s="28">
        <v>41520</v>
      </c>
      <c r="R139" s="28">
        <v>41920</v>
      </c>
      <c r="S139" s="28">
        <v>41270</v>
      </c>
      <c r="T139" s="28">
        <v>41430</v>
      </c>
      <c r="U139" s="28">
        <v>41200</v>
      </c>
      <c r="V139" s="28">
        <v>39510</v>
      </c>
      <c r="W139" s="28">
        <v>38360</v>
      </c>
      <c r="X139" s="28">
        <v>37090</v>
      </c>
      <c r="Y139" s="28">
        <v>37230</v>
      </c>
      <c r="Z139" s="28">
        <v>35800</v>
      </c>
      <c r="AA139" s="28">
        <v>34000</v>
      </c>
      <c r="AB139" s="28">
        <v>34020</v>
      </c>
      <c r="AC139" s="28">
        <v>34510</v>
      </c>
      <c r="AD139" s="28">
        <v>34310</v>
      </c>
      <c r="AE139" s="28">
        <v>34850</v>
      </c>
      <c r="AF139" s="28">
        <v>36530</v>
      </c>
      <c r="AG139" s="28">
        <v>37850</v>
      </c>
      <c r="AH139" s="28">
        <v>38230</v>
      </c>
      <c r="AI139" s="28">
        <v>38420</v>
      </c>
      <c r="AJ139" s="28">
        <v>37750</v>
      </c>
      <c r="AK139" s="28">
        <v>37290</v>
      </c>
      <c r="AL139" s="28">
        <v>36980</v>
      </c>
      <c r="AM139" s="28">
        <v>36280</v>
      </c>
      <c r="AN139" s="28">
        <v>36200</v>
      </c>
      <c r="AO139" s="28">
        <v>36020</v>
      </c>
      <c r="AP139" s="28">
        <v>36460</v>
      </c>
      <c r="AQ139" s="28">
        <v>37070</v>
      </c>
      <c r="AR139" s="28">
        <v>37630</v>
      </c>
      <c r="AS139" s="28">
        <v>38100</v>
      </c>
      <c r="AT139" s="28">
        <v>38470</v>
      </c>
      <c r="AU139" s="28">
        <v>38720</v>
      </c>
      <c r="AV139" s="28">
        <v>38870</v>
      </c>
      <c r="AW139" s="28">
        <v>38950</v>
      </c>
      <c r="AX139" s="28">
        <v>38960</v>
      </c>
      <c r="AY139" s="28">
        <v>38900</v>
      </c>
      <c r="AZ139" s="28">
        <v>38790</v>
      </c>
      <c r="BA139" s="28">
        <v>38630</v>
      </c>
      <c r="BB139" s="28">
        <v>38430</v>
      </c>
      <c r="BC139" s="28">
        <v>38200</v>
      </c>
      <c r="BD139" s="28">
        <v>37960</v>
      </c>
      <c r="BE139" s="28">
        <v>37730</v>
      </c>
      <c r="BF139" s="28">
        <v>37510</v>
      </c>
      <c r="BG139" s="28">
        <v>37320</v>
      </c>
      <c r="BH139" s="28">
        <v>37180</v>
      </c>
      <c r="BI139" s="28">
        <v>37080</v>
      </c>
      <c r="BJ139" s="28">
        <v>37050</v>
      </c>
      <c r="BK139" s="28">
        <v>37060</v>
      </c>
      <c r="BL139" s="28">
        <v>37110</v>
      </c>
    </row>
    <row r="140" spans="1:64" x14ac:dyDescent="0.2">
      <c r="A140" s="28">
        <v>30</v>
      </c>
      <c r="B140" s="80">
        <v>25180</v>
      </c>
      <c r="C140" s="80">
        <v>25160</v>
      </c>
      <c r="D140" s="80">
        <v>24780</v>
      </c>
      <c r="E140" s="80">
        <v>25430</v>
      </c>
      <c r="F140" s="80">
        <v>25770</v>
      </c>
      <c r="G140" s="80">
        <v>26150</v>
      </c>
      <c r="H140" s="80">
        <v>26000</v>
      </c>
      <c r="I140" s="80">
        <v>26530</v>
      </c>
      <c r="J140" s="80">
        <v>27170</v>
      </c>
      <c r="K140" s="80">
        <v>28170</v>
      </c>
      <c r="L140" s="28">
        <v>30100</v>
      </c>
      <c r="M140" s="28">
        <v>32180</v>
      </c>
      <c r="N140" s="28">
        <v>34290</v>
      </c>
      <c r="O140" s="28">
        <v>36790</v>
      </c>
      <c r="P140" s="28">
        <v>39400</v>
      </c>
      <c r="Q140" s="28">
        <v>41620</v>
      </c>
      <c r="R140" s="28">
        <v>41880</v>
      </c>
      <c r="S140" s="28">
        <v>42280</v>
      </c>
      <c r="T140" s="28">
        <v>41630</v>
      </c>
      <c r="U140" s="28">
        <v>41790</v>
      </c>
      <c r="V140" s="28">
        <v>41560</v>
      </c>
      <c r="W140" s="28">
        <v>39870</v>
      </c>
      <c r="X140" s="28">
        <v>38730</v>
      </c>
      <c r="Y140" s="28">
        <v>37450</v>
      </c>
      <c r="Z140" s="28">
        <v>37590</v>
      </c>
      <c r="AA140" s="28">
        <v>36160</v>
      </c>
      <c r="AB140" s="28">
        <v>34370</v>
      </c>
      <c r="AC140" s="28">
        <v>34390</v>
      </c>
      <c r="AD140" s="28">
        <v>34880</v>
      </c>
      <c r="AE140" s="28">
        <v>34670</v>
      </c>
      <c r="AF140" s="28">
        <v>35220</v>
      </c>
      <c r="AG140" s="28">
        <v>36900</v>
      </c>
      <c r="AH140" s="28">
        <v>38220</v>
      </c>
      <c r="AI140" s="28">
        <v>38600</v>
      </c>
      <c r="AJ140" s="28">
        <v>38790</v>
      </c>
      <c r="AK140" s="28">
        <v>38120</v>
      </c>
      <c r="AL140" s="28">
        <v>37660</v>
      </c>
      <c r="AM140" s="28">
        <v>37350</v>
      </c>
      <c r="AN140" s="28">
        <v>36650</v>
      </c>
      <c r="AO140" s="28">
        <v>36570</v>
      </c>
      <c r="AP140" s="28">
        <v>36390</v>
      </c>
      <c r="AQ140" s="28">
        <v>36830</v>
      </c>
      <c r="AR140" s="28">
        <v>37440</v>
      </c>
      <c r="AS140" s="28">
        <v>38000</v>
      </c>
      <c r="AT140" s="28">
        <v>38470</v>
      </c>
      <c r="AU140" s="28">
        <v>38840</v>
      </c>
      <c r="AV140" s="28">
        <v>39090</v>
      </c>
      <c r="AW140" s="28">
        <v>39240</v>
      </c>
      <c r="AX140" s="28">
        <v>39320</v>
      </c>
      <c r="AY140" s="28">
        <v>39330</v>
      </c>
      <c r="AZ140" s="28">
        <v>39270</v>
      </c>
      <c r="BA140" s="28">
        <v>39160</v>
      </c>
      <c r="BB140" s="28">
        <v>39000</v>
      </c>
      <c r="BC140" s="28">
        <v>38800</v>
      </c>
      <c r="BD140" s="28">
        <v>38570</v>
      </c>
      <c r="BE140" s="28">
        <v>38340</v>
      </c>
      <c r="BF140" s="28">
        <v>38100</v>
      </c>
      <c r="BG140" s="28">
        <v>37880</v>
      </c>
      <c r="BH140" s="28">
        <v>37690</v>
      </c>
      <c r="BI140" s="28">
        <v>37550</v>
      </c>
      <c r="BJ140" s="28">
        <v>37460</v>
      </c>
      <c r="BK140" s="28">
        <v>37420</v>
      </c>
      <c r="BL140" s="28">
        <v>37430</v>
      </c>
    </row>
    <row r="141" spans="1:64" x14ac:dyDescent="0.2">
      <c r="A141" s="28">
        <v>31</v>
      </c>
      <c r="B141" s="80">
        <v>26120</v>
      </c>
      <c r="C141" s="80">
        <v>25420</v>
      </c>
      <c r="D141" s="80">
        <v>25480</v>
      </c>
      <c r="E141" s="80">
        <v>25060</v>
      </c>
      <c r="F141" s="80">
        <v>25520</v>
      </c>
      <c r="G141" s="80">
        <v>25770</v>
      </c>
      <c r="H141" s="80">
        <v>26110</v>
      </c>
      <c r="I141" s="80">
        <v>26060</v>
      </c>
      <c r="J141" s="80">
        <v>27310</v>
      </c>
      <c r="K141" s="80">
        <v>28130</v>
      </c>
      <c r="L141" s="28">
        <v>29220</v>
      </c>
      <c r="M141" s="28">
        <v>31050</v>
      </c>
      <c r="N141" s="28">
        <v>33000</v>
      </c>
      <c r="O141" s="28">
        <v>34970</v>
      </c>
      <c r="P141" s="28">
        <v>37330</v>
      </c>
      <c r="Q141" s="28">
        <v>39810</v>
      </c>
      <c r="R141" s="28">
        <v>41890</v>
      </c>
      <c r="S141" s="28">
        <v>42150</v>
      </c>
      <c r="T141" s="28">
        <v>42550</v>
      </c>
      <c r="U141" s="28">
        <v>41900</v>
      </c>
      <c r="V141" s="28">
        <v>42060</v>
      </c>
      <c r="W141" s="28">
        <v>41830</v>
      </c>
      <c r="X141" s="28">
        <v>40150</v>
      </c>
      <c r="Y141" s="28">
        <v>39010</v>
      </c>
      <c r="Z141" s="28">
        <v>37730</v>
      </c>
      <c r="AA141" s="28">
        <v>37870</v>
      </c>
      <c r="AB141" s="28">
        <v>36450</v>
      </c>
      <c r="AC141" s="28">
        <v>34650</v>
      </c>
      <c r="AD141" s="28">
        <v>34670</v>
      </c>
      <c r="AE141" s="28">
        <v>35160</v>
      </c>
      <c r="AF141" s="28">
        <v>34960</v>
      </c>
      <c r="AG141" s="28">
        <v>35510</v>
      </c>
      <c r="AH141" s="28">
        <v>37190</v>
      </c>
      <c r="AI141" s="28">
        <v>38500</v>
      </c>
      <c r="AJ141" s="28">
        <v>38880</v>
      </c>
      <c r="AK141" s="28">
        <v>39070</v>
      </c>
      <c r="AL141" s="28">
        <v>38410</v>
      </c>
      <c r="AM141" s="28">
        <v>37940</v>
      </c>
      <c r="AN141" s="28">
        <v>37630</v>
      </c>
      <c r="AO141" s="28">
        <v>36940</v>
      </c>
      <c r="AP141" s="28">
        <v>36850</v>
      </c>
      <c r="AQ141" s="28">
        <v>36670</v>
      </c>
      <c r="AR141" s="28">
        <v>37120</v>
      </c>
      <c r="AS141" s="28">
        <v>37730</v>
      </c>
      <c r="AT141" s="28">
        <v>38280</v>
      </c>
      <c r="AU141" s="28">
        <v>38760</v>
      </c>
      <c r="AV141" s="28">
        <v>39130</v>
      </c>
      <c r="AW141" s="28">
        <v>39380</v>
      </c>
      <c r="AX141" s="28">
        <v>39530</v>
      </c>
      <c r="AY141" s="28">
        <v>39610</v>
      </c>
      <c r="AZ141" s="28">
        <v>39620</v>
      </c>
      <c r="BA141" s="28">
        <v>39560</v>
      </c>
      <c r="BB141" s="28">
        <v>39450</v>
      </c>
      <c r="BC141" s="28">
        <v>39290</v>
      </c>
      <c r="BD141" s="28">
        <v>39090</v>
      </c>
      <c r="BE141" s="28">
        <v>38860</v>
      </c>
      <c r="BF141" s="28">
        <v>38630</v>
      </c>
      <c r="BG141" s="28">
        <v>38390</v>
      </c>
      <c r="BH141" s="28">
        <v>38170</v>
      </c>
      <c r="BI141" s="28">
        <v>37980</v>
      </c>
      <c r="BJ141" s="28">
        <v>37840</v>
      </c>
      <c r="BK141" s="28">
        <v>37750</v>
      </c>
      <c r="BL141" s="28">
        <v>37710</v>
      </c>
    </row>
    <row r="142" spans="1:64" x14ac:dyDescent="0.2">
      <c r="A142" s="28">
        <v>32</v>
      </c>
      <c r="B142" s="80">
        <v>27080</v>
      </c>
      <c r="C142" s="80">
        <v>26350</v>
      </c>
      <c r="D142" s="80">
        <v>25550</v>
      </c>
      <c r="E142" s="80">
        <v>25630</v>
      </c>
      <c r="F142" s="80">
        <v>25140</v>
      </c>
      <c r="G142" s="80">
        <v>25470</v>
      </c>
      <c r="H142" s="80">
        <v>25610</v>
      </c>
      <c r="I142" s="80">
        <v>26030</v>
      </c>
      <c r="J142" s="80">
        <v>26580</v>
      </c>
      <c r="K142" s="80">
        <v>28060</v>
      </c>
      <c r="L142" s="28">
        <v>29030</v>
      </c>
      <c r="M142" s="28">
        <v>29940</v>
      </c>
      <c r="N142" s="28">
        <v>31660</v>
      </c>
      <c r="O142" s="28">
        <v>33490</v>
      </c>
      <c r="P142" s="28">
        <v>35360</v>
      </c>
      <c r="Q142" s="28">
        <v>37600</v>
      </c>
      <c r="R142" s="28">
        <v>39970</v>
      </c>
      <c r="S142" s="28">
        <v>42050</v>
      </c>
      <c r="T142" s="28">
        <v>42310</v>
      </c>
      <c r="U142" s="28">
        <v>42710</v>
      </c>
      <c r="V142" s="28">
        <v>42060</v>
      </c>
      <c r="W142" s="28">
        <v>42220</v>
      </c>
      <c r="X142" s="28">
        <v>41990</v>
      </c>
      <c r="Y142" s="28">
        <v>40310</v>
      </c>
      <c r="Z142" s="28">
        <v>39170</v>
      </c>
      <c r="AA142" s="28">
        <v>37900</v>
      </c>
      <c r="AB142" s="28">
        <v>38030</v>
      </c>
      <c r="AC142" s="28">
        <v>36610</v>
      </c>
      <c r="AD142" s="28">
        <v>34810</v>
      </c>
      <c r="AE142" s="28">
        <v>34840</v>
      </c>
      <c r="AF142" s="28">
        <v>35320</v>
      </c>
      <c r="AG142" s="28">
        <v>35120</v>
      </c>
      <c r="AH142" s="28">
        <v>35670</v>
      </c>
      <c r="AI142" s="28">
        <v>37350</v>
      </c>
      <c r="AJ142" s="28">
        <v>38670</v>
      </c>
      <c r="AK142" s="28">
        <v>39050</v>
      </c>
      <c r="AL142" s="28">
        <v>39240</v>
      </c>
      <c r="AM142" s="28">
        <v>38570</v>
      </c>
      <c r="AN142" s="28">
        <v>38110</v>
      </c>
      <c r="AO142" s="28">
        <v>37800</v>
      </c>
      <c r="AP142" s="28">
        <v>37100</v>
      </c>
      <c r="AQ142" s="28">
        <v>37020</v>
      </c>
      <c r="AR142" s="28">
        <v>36840</v>
      </c>
      <c r="AS142" s="28">
        <v>37280</v>
      </c>
      <c r="AT142" s="28">
        <v>37900</v>
      </c>
      <c r="AU142" s="28">
        <v>38450</v>
      </c>
      <c r="AV142" s="28">
        <v>38930</v>
      </c>
      <c r="AW142" s="28">
        <v>39300</v>
      </c>
      <c r="AX142" s="28">
        <v>39550</v>
      </c>
      <c r="AY142" s="28">
        <v>39700</v>
      </c>
      <c r="AZ142" s="28">
        <v>39780</v>
      </c>
      <c r="BA142" s="28">
        <v>39790</v>
      </c>
      <c r="BB142" s="28">
        <v>39730</v>
      </c>
      <c r="BC142" s="28">
        <v>39620</v>
      </c>
      <c r="BD142" s="28">
        <v>39460</v>
      </c>
      <c r="BE142" s="28">
        <v>39260</v>
      </c>
      <c r="BF142" s="28">
        <v>39040</v>
      </c>
      <c r="BG142" s="28">
        <v>38800</v>
      </c>
      <c r="BH142" s="28">
        <v>38560</v>
      </c>
      <c r="BI142" s="28">
        <v>38340</v>
      </c>
      <c r="BJ142" s="28">
        <v>38160</v>
      </c>
      <c r="BK142" s="28">
        <v>38010</v>
      </c>
      <c r="BL142" s="28">
        <v>37920</v>
      </c>
    </row>
    <row r="143" spans="1:64" x14ac:dyDescent="0.2">
      <c r="A143" s="28">
        <v>33</v>
      </c>
      <c r="B143" s="80">
        <v>28270</v>
      </c>
      <c r="C143" s="80">
        <v>27360</v>
      </c>
      <c r="D143" s="80">
        <v>26460</v>
      </c>
      <c r="E143" s="80">
        <v>25700</v>
      </c>
      <c r="F143" s="80">
        <v>25670</v>
      </c>
      <c r="G143" s="80">
        <v>25030</v>
      </c>
      <c r="H143" s="80">
        <v>25340</v>
      </c>
      <c r="I143" s="80">
        <v>25570</v>
      </c>
      <c r="J143" s="80">
        <v>26460</v>
      </c>
      <c r="K143" s="80">
        <v>27140</v>
      </c>
      <c r="L143" s="28">
        <v>28700</v>
      </c>
      <c r="M143" s="28">
        <v>29600</v>
      </c>
      <c r="N143" s="28">
        <v>30420</v>
      </c>
      <c r="O143" s="28">
        <v>32050</v>
      </c>
      <c r="P143" s="28">
        <v>33780</v>
      </c>
      <c r="Q143" s="28">
        <v>35560</v>
      </c>
      <c r="R143" s="28">
        <v>37710</v>
      </c>
      <c r="S143" s="28">
        <v>40070</v>
      </c>
      <c r="T143" s="28">
        <v>42150</v>
      </c>
      <c r="U143" s="28">
        <v>42410</v>
      </c>
      <c r="V143" s="28">
        <v>42810</v>
      </c>
      <c r="W143" s="28">
        <v>42160</v>
      </c>
      <c r="X143" s="28">
        <v>42330</v>
      </c>
      <c r="Y143" s="28">
        <v>42100</v>
      </c>
      <c r="Z143" s="28">
        <v>40420</v>
      </c>
      <c r="AA143" s="28">
        <v>39270</v>
      </c>
      <c r="AB143" s="28">
        <v>38000</v>
      </c>
      <c r="AC143" s="28">
        <v>38140</v>
      </c>
      <c r="AD143" s="28">
        <v>36720</v>
      </c>
      <c r="AE143" s="28">
        <v>34930</v>
      </c>
      <c r="AF143" s="28">
        <v>34950</v>
      </c>
      <c r="AG143" s="28">
        <v>35440</v>
      </c>
      <c r="AH143" s="28">
        <v>35240</v>
      </c>
      <c r="AI143" s="28">
        <v>35780</v>
      </c>
      <c r="AJ143" s="28">
        <v>37460</v>
      </c>
      <c r="AK143" s="28">
        <v>38780</v>
      </c>
      <c r="AL143" s="28">
        <v>39160</v>
      </c>
      <c r="AM143" s="28">
        <v>39350</v>
      </c>
      <c r="AN143" s="28">
        <v>38690</v>
      </c>
      <c r="AO143" s="28">
        <v>38220</v>
      </c>
      <c r="AP143" s="28">
        <v>37910</v>
      </c>
      <c r="AQ143" s="28">
        <v>37220</v>
      </c>
      <c r="AR143" s="28">
        <v>37130</v>
      </c>
      <c r="AS143" s="28">
        <v>36960</v>
      </c>
      <c r="AT143" s="28">
        <v>37400</v>
      </c>
      <c r="AU143" s="28">
        <v>38010</v>
      </c>
      <c r="AV143" s="28">
        <v>38570</v>
      </c>
      <c r="AW143" s="28">
        <v>39040</v>
      </c>
      <c r="AX143" s="28">
        <v>39410</v>
      </c>
      <c r="AY143" s="28">
        <v>39670</v>
      </c>
      <c r="AZ143" s="28">
        <v>39820</v>
      </c>
      <c r="BA143" s="28">
        <v>39900</v>
      </c>
      <c r="BB143" s="28">
        <v>39900</v>
      </c>
      <c r="BC143" s="28">
        <v>39850</v>
      </c>
      <c r="BD143" s="28">
        <v>39730</v>
      </c>
      <c r="BE143" s="28">
        <v>39580</v>
      </c>
      <c r="BF143" s="28">
        <v>39380</v>
      </c>
      <c r="BG143" s="28">
        <v>39150</v>
      </c>
      <c r="BH143" s="28">
        <v>38910</v>
      </c>
      <c r="BI143" s="28">
        <v>38680</v>
      </c>
      <c r="BJ143" s="28">
        <v>38460</v>
      </c>
      <c r="BK143" s="28">
        <v>38270</v>
      </c>
      <c r="BL143" s="28">
        <v>38130</v>
      </c>
    </row>
    <row r="144" spans="1:64" x14ac:dyDescent="0.2">
      <c r="A144" s="28">
        <v>34</v>
      </c>
      <c r="B144" s="80">
        <v>29670</v>
      </c>
      <c r="C144" s="80">
        <v>28570</v>
      </c>
      <c r="D144" s="80">
        <v>27580</v>
      </c>
      <c r="E144" s="80">
        <v>26650</v>
      </c>
      <c r="F144" s="80">
        <v>25770</v>
      </c>
      <c r="G144" s="80">
        <v>25700</v>
      </c>
      <c r="H144" s="80">
        <v>24980</v>
      </c>
      <c r="I144" s="80">
        <v>25320</v>
      </c>
      <c r="J144" s="80">
        <v>25940</v>
      </c>
      <c r="K144" s="80">
        <v>27010</v>
      </c>
      <c r="L144" s="28">
        <v>27730</v>
      </c>
      <c r="M144" s="28">
        <v>29240</v>
      </c>
      <c r="N144" s="28">
        <v>30050</v>
      </c>
      <c r="O144" s="28">
        <v>30790</v>
      </c>
      <c r="P144" s="28">
        <v>32330</v>
      </c>
      <c r="Q144" s="28">
        <v>33980</v>
      </c>
      <c r="R144" s="28">
        <v>35660</v>
      </c>
      <c r="S144" s="28">
        <v>37810</v>
      </c>
      <c r="T144" s="28">
        <v>40180</v>
      </c>
      <c r="U144" s="28">
        <v>42250</v>
      </c>
      <c r="V144" s="28">
        <v>42510</v>
      </c>
      <c r="W144" s="28">
        <v>42920</v>
      </c>
      <c r="X144" s="28">
        <v>42270</v>
      </c>
      <c r="Y144" s="28">
        <v>42430</v>
      </c>
      <c r="Z144" s="28">
        <v>42200</v>
      </c>
      <c r="AA144" s="28">
        <v>40520</v>
      </c>
      <c r="AB144" s="28">
        <v>39380</v>
      </c>
      <c r="AC144" s="28">
        <v>38110</v>
      </c>
      <c r="AD144" s="28">
        <v>38250</v>
      </c>
      <c r="AE144" s="28">
        <v>36830</v>
      </c>
      <c r="AF144" s="28">
        <v>35040</v>
      </c>
      <c r="AG144" s="28">
        <v>35060</v>
      </c>
      <c r="AH144" s="28">
        <v>35550</v>
      </c>
      <c r="AI144" s="28">
        <v>35350</v>
      </c>
      <c r="AJ144" s="28">
        <v>35900</v>
      </c>
      <c r="AK144" s="28">
        <v>37580</v>
      </c>
      <c r="AL144" s="28">
        <v>38890</v>
      </c>
      <c r="AM144" s="28">
        <v>39270</v>
      </c>
      <c r="AN144" s="28">
        <v>39460</v>
      </c>
      <c r="AO144" s="28">
        <v>38800</v>
      </c>
      <c r="AP144" s="28">
        <v>38330</v>
      </c>
      <c r="AQ144" s="28">
        <v>38030</v>
      </c>
      <c r="AR144" s="28">
        <v>37330</v>
      </c>
      <c r="AS144" s="28">
        <v>37250</v>
      </c>
      <c r="AT144" s="28">
        <v>37070</v>
      </c>
      <c r="AU144" s="28">
        <v>37510</v>
      </c>
      <c r="AV144" s="28">
        <v>38130</v>
      </c>
      <c r="AW144" s="28">
        <v>38680</v>
      </c>
      <c r="AX144" s="28">
        <v>39160</v>
      </c>
      <c r="AY144" s="28">
        <v>39530</v>
      </c>
      <c r="AZ144" s="28">
        <v>39780</v>
      </c>
      <c r="BA144" s="28">
        <v>39930</v>
      </c>
      <c r="BB144" s="28">
        <v>40010</v>
      </c>
      <c r="BC144" s="28">
        <v>40020</v>
      </c>
      <c r="BD144" s="28">
        <v>39960</v>
      </c>
      <c r="BE144" s="28">
        <v>39850</v>
      </c>
      <c r="BF144" s="28">
        <v>39690</v>
      </c>
      <c r="BG144" s="28">
        <v>39500</v>
      </c>
      <c r="BH144" s="28">
        <v>39270</v>
      </c>
      <c r="BI144" s="28">
        <v>39030</v>
      </c>
      <c r="BJ144" s="28">
        <v>38800</v>
      </c>
      <c r="BK144" s="28">
        <v>38580</v>
      </c>
      <c r="BL144" s="28">
        <v>38390</v>
      </c>
    </row>
    <row r="145" spans="1:64" x14ac:dyDescent="0.2">
      <c r="A145" s="28">
        <v>35</v>
      </c>
      <c r="B145" s="80">
        <v>30140</v>
      </c>
      <c r="C145" s="80">
        <v>29910</v>
      </c>
      <c r="D145" s="80">
        <v>28640</v>
      </c>
      <c r="E145" s="80">
        <v>27750</v>
      </c>
      <c r="F145" s="80">
        <v>26780</v>
      </c>
      <c r="G145" s="80">
        <v>25730</v>
      </c>
      <c r="H145" s="80">
        <v>25670</v>
      </c>
      <c r="I145" s="80">
        <v>24970</v>
      </c>
      <c r="J145" s="80">
        <v>25650</v>
      </c>
      <c r="K145" s="80">
        <v>26420</v>
      </c>
      <c r="L145" s="28">
        <v>27610</v>
      </c>
      <c r="M145" s="28">
        <v>28220</v>
      </c>
      <c r="N145" s="28">
        <v>29650</v>
      </c>
      <c r="O145" s="28">
        <v>30380</v>
      </c>
      <c r="P145" s="28">
        <v>31040</v>
      </c>
      <c r="Q145" s="28">
        <v>32500</v>
      </c>
      <c r="R145" s="28">
        <v>34070</v>
      </c>
      <c r="S145" s="28">
        <v>35760</v>
      </c>
      <c r="T145" s="28">
        <v>37910</v>
      </c>
      <c r="U145" s="28">
        <v>40270</v>
      </c>
      <c r="V145" s="28">
        <v>42350</v>
      </c>
      <c r="W145" s="28">
        <v>42610</v>
      </c>
      <c r="X145" s="28">
        <v>43010</v>
      </c>
      <c r="Y145" s="28">
        <v>42360</v>
      </c>
      <c r="Z145" s="28">
        <v>42520</v>
      </c>
      <c r="AA145" s="28">
        <v>42300</v>
      </c>
      <c r="AB145" s="28">
        <v>40620</v>
      </c>
      <c r="AC145" s="28">
        <v>39480</v>
      </c>
      <c r="AD145" s="28">
        <v>38210</v>
      </c>
      <c r="AE145" s="28">
        <v>38350</v>
      </c>
      <c r="AF145" s="28">
        <v>36930</v>
      </c>
      <c r="AG145" s="28">
        <v>35140</v>
      </c>
      <c r="AH145" s="28">
        <v>35160</v>
      </c>
      <c r="AI145" s="28">
        <v>35650</v>
      </c>
      <c r="AJ145" s="28">
        <v>35450</v>
      </c>
      <c r="AK145" s="28">
        <v>36000</v>
      </c>
      <c r="AL145" s="28">
        <v>37680</v>
      </c>
      <c r="AM145" s="28">
        <v>38990</v>
      </c>
      <c r="AN145" s="28">
        <v>39370</v>
      </c>
      <c r="AO145" s="28">
        <v>39570</v>
      </c>
      <c r="AP145" s="28">
        <v>38900</v>
      </c>
      <c r="AQ145" s="28">
        <v>38440</v>
      </c>
      <c r="AR145" s="28">
        <v>38130</v>
      </c>
      <c r="AS145" s="28">
        <v>37440</v>
      </c>
      <c r="AT145" s="28">
        <v>37350</v>
      </c>
      <c r="AU145" s="28">
        <v>37180</v>
      </c>
      <c r="AV145" s="28">
        <v>37620</v>
      </c>
      <c r="AW145" s="28">
        <v>38240</v>
      </c>
      <c r="AX145" s="28">
        <v>38790</v>
      </c>
      <c r="AY145" s="28">
        <v>39260</v>
      </c>
      <c r="AZ145" s="28">
        <v>39640</v>
      </c>
      <c r="BA145" s="28">
        <v>39890</v>
      </c>
      <c r="BB145" s="28">
        <v>40040</v>
      </c>
      <c r="BC145" s="28">
        <v>40120</v>
      </c>
      <c r="BD145" s="28">
        <v>40130</v>
      </c>
      <c r="BE145" s="28">
        <v>40070</v>
      </c>
      <c r="BF145" s="28">
        <v>39960</v>
      </c>
      <c r="BG145" s="28">
        <v>39800</v>
      </c>
      <c r="BH145" s="28">
        <v>39600</v>
      </c>
      <c r="BI145" s="28">
        <v>39380</v>
      </c>
      <c r="BJ145" s="28">
        <v>39140</v>
      </c>
      <c r="BK145" s="28">
        <v>38910</v>
      </c>
      <c r="BL145" s="28">
        <v>38690</v>
      </c>
    </row>
    <row r="146" spans="1:64" x14ac:dyDescent="0.2">
      <c r="A146" s="28">
        <v>36</v>
      </c>
      <c r="B146" s="80">
        <v>29680</v>
      </c>
      <c r="C146" s="80">
        <v>30320</v>
      </c>
      <c r="D146" s="80">
        <v>30070</v>
      </c>
      <c r="E146" s="80">
        <v>28790</v>
      </c>
      <c r="F146" s="80">
        <v>27890</v>
      </c>
      <c r="G146" s="80">
        <v>26800</v>
      </c>
      <c r="H146" s="80">
        <v>25710</v>
      </c>
      <c r="I146" s="80">
        <v>25740</v>
      </c>
      <c r="J146" s="80">
        <v>25230</v>
      </c>
      <c r="K146" s="80">
        <v>26130</v>
      </c>
      <c r="L146" s="28">
        <v>26970</v>
      </c>
      <c r="M146" s="28">
        <v>28060</v>
      </c>
      <c r="N146" s="28">
        <v>28600</v>
      </c>
      <c r="O146" s="28">
        <v>29960</v>
      </c>
      <c r="P146" s="28">
        <v>30610</v>
      </c>
      <c r="Q146" s="28">
        <v>31200</v>
      </c>
      <c r="R146" s="28">
        <v>32580</v>
      </c>
      <c r="S146" s="28">
        <v>34160</v>
      </c>
      <c r="T146" s="28">
        <v>35840</v>
      </c>
      <c r="U146" s="28">
        <v>37990</v>
      </c>
      <c r="V146" s="28">
        <v>40350</v>
      </c>
      <c r="W146" s="28">
        <v>42420</v>
      </c>
      <c r="X146" s="28">
        <v>42680</v>
      </c>
      <c r="Y146" s="28">
        <v>43090</v>
      </c>
      <c r="Z146" s="28">
        <v>42440</v>
      </c>
      <c r="AA146" s="28">
        <v>42600</v>
      </c>
      <c r="AB146" s="28">
        <v>42380</v>
      </c>
      <c r="AC146" s="28">
        <v>40700</v>
      </c>
      <c r="AD146" s="28">
        <v>39560</v>
      </c>
      <c r="AE146" s="28">
        <v>38300</v>
      </c>
      <c r="AF146" s="28">
        <v>38440</v>
      </c>
      <c r="AG146" s="28">
        <v>37020</v>
      </c>
      <c r="AH146" s="28">
        <v>35230</v>
      </c>
      <c r="AI146" s="28">
        <v>35250</v>
      </c>
      <c r="AJ146" s="28">
        <v>35740</v>
      </c>
      <c r="AK146" s="28">
        <v>35540</v>
      </c>
      <c r="AL146" s="28">
        <v>36090</v>
      </c>
      <c r="AM146" s="28">
        <v>37770</v>
      </c>
      <c r="AN146" s="28">
        <v>39080</v>
      </c>
      <c r="AO146" s="28">
        <v>39460</v>
      </c>
      <c r="AP146" s="28">
        <v>39650</v>
      </c>
      <c r="AQ146" s="28">
        <v>38990</v>
      </c>
      <c r="AR146" s="28">
        <v>38530</v>
      </c>
      <c r="AS146" s="28">
        <v>38220</v>
      </c>
      <c r="AT146" s="28">
        <v>37530</v>
      </c>
      <c r="AU146" s="28">
        <v>37450</v>
      </c>
      <c r="AV146" s="28">
        <v>37270</v>
      </c>
      <c r="AW146" s="28">
        <v>37710</v>
      </c>
      <c r="AX146" s="28">
        <v>38330</v>
      </c>
      <c r="AY146" s="28">
        <v>38880</v>
      </c>
      <c r="AZ146" s="28">
        <v>39350</v>
      </c>
      <c r="BA146" s="28">
        <v>39730</v>
      </c>
      <c r="BB146" s="28">
        <v>39980</v>
      </c>
      <c r="BC146" s="28">
        <v>40130</v>
      </c>
      <c r="BD146" s="28">
        <v>40210</v>
      </c>
      <c r="BE146" s="28">
        <v>40220</v>
      </c>
      <c r="BF146" s="28">
        <v>40160</v>
      </c>
      <c r="BG146" s="28">
        <v>40050</v>
      </c>
      <c r="BH146" s="28">
        <v>39890</v>
      </c>
      <c r="BI146" s="28">
        <v>39700</v>
      </c>
      <c r="BJ146" s="28">
        <v>39470</v>
      </c>
      <c r="BK146" s="28">
        <v>39240</v>
      </c>
      <c r="BL146" s="28">
        <v>39000</v>
      </c>
    </row>
    <row r="147" spans="1:64" x14ac:dyDescent="0.2">
      <c r="A147" s="28">
        <v>37</v>
      </c>
      <c r="B147" s="80">
        <v>30040</v>
      </c>
      <c r="C147" s="80">
        <v>29860</v>
      </c>
      <c r="D147" s="80">
        <v>30480</v>
      </c>
      <c r="E147" s="80">
        <v>30200</v>
      </c>
      <c r="F147" s="80">
        <v>28920</v>
      </c>
      <c r="G147" s="80">
        <v>27960</v>
      </c>
      <c r="H147" s="80">
        <v>26770</v>
      </c>
      <c r="I147" s="80">
        <v>25830</v>
      </c>
      <c r="J147" s="80">
        <v>25980</v>
      </c>
      <c r="K147" s="80">
        <v>25570</v>
      </c>
      <c r="L147" s="28">
        <v>26610</v>
      </c>
      <c r="M147" s="28">
        <v>27390</v>
      </c>
      <c r="N147" s="28">
        <v>28400</v>
      </c>
      <c r="O147" s="28">
        <v>28880</v>
      </c>
      <c r="P147" s="28">
        <v>30170</v>
      </c>
      <c r="Q147" s="28">
        <v>30760</v>
      </c>
      <c r="R147" s="28">
        <v>31270</v>
      </c>
      <c r="S147" s="28">
        <v>32660</v>
      </c>
      <c r="T147" s="28">
        <v>34230</v>
      </c>
      <c r="U147" s="28">
        <v>35910</v>
      </c>
      <c r="V147" s="28">
        <v>38060</v>
      </c>
      <c r="W147" s="28">
        <v>40420</v>
      </c>
      <c r="X147" s="28">
        <v>42490</v>
      </c>
      <c r="Y147" s="28">
        <v>42750</v>
      </c>
      <c r="Z147" s="28">
        <v>43160</v>
      </c>
      <c r="AA147" s="28">
        <v>42510</v>
      </c>
      <c r="AB147" s="28">
        <v>42680</v>
      </c>
      <c r="AC147" s="28">
        <v>42450</v>
      </c>
      <c r="AD147" s="28">
        <v>40780</v>
      </c>
      <c r="AE147" s="28">
        <v>39640</v>
      </c>
      <c r="AF147" s="28">
        <v>38370</v>
      </c>
      <c r="AG147" s="28">
        <v>38510</v>
      </c>
      <c r="AH147" s="28">
        <v>37090</v>
      </c>
      <c r="AI147" s="28">
        <v>35310</v>
      </c>
      <c r="AJ147" s="28">
        <v>35330</v>
      </c>
      <c r="AK147" s="28">
        <v>35820</v>
      </c>
      <c r="AL147" s="28">
        <v>35620</v>
      </c>
      <c r="AM147" s="28">
        <v>36170</v>
      </c>
      <c r="AN147" s="28">
        <v>37850</v>
      </c>
      <c r="AO147" s="28">
        <v>39160</v>
      </c>
      <c r="AP147" s="28">
        <v>39540</v>
      </c>
      <c r="AQ147" s="28">
        <v>39730</v>
      </c>
      <c r="AR147" s="28">
        <v>39070</v>
      </c>
      <c r="AS147" s="28">
        <v>38610</v>
      </c>
      <c r="AT147" s="28">
        <v>38300</v>
      </c>
      <c r="AU147" s="28">
        <v>37610</v>
      </c>
      <c r="AV147" s="28">
        <v>37530</v>
      </c>
      <c r="AW147" s="28">
        <v>37350</v>
      </c>
      <c r="AX147" s="28">
        <v>37790</v>
      </c>
      <c r="AY147" s="28">
        <v>38410</v>
      </c>
      <c r="AZ147" s="28">
        <v>38960</v>
      </c>
      <c r="BA147" s="28">
        <v>39440</v>
      </c>
      <c r="BB147" s="28">
        <v>39810</v>
      </c>
      <c r="BC147" s="28">
        <v>40060</v>
      </c>
      <c r="BD147" s="28">
        <v>40220</v>
      </c>
      <c r="BE147" s="28">
        <v>40300</v>
      </c>
      <c r="BF147" s="28">
        <v>40300</v>
      </c>
      <c r="BG147" s="28">
        <v>40250</v>
      </c>
      <c r="BH147" s="28">
        <v>40140</v>
      </c>
      <c r="BI147" s="28">
        <v>39980</v>
      </c>
      <c r="BJ147" s="28">
        <v>39780</v>
      </c>
      <c r="BK147" s="28">
        <v>39560</v>
      </c>
      <c r="BL147" s="28">
        <v>39320</v>
      </c>
    </row>
    <row r="148" spans="1:64" x14ac:dyDescent="0.2">
      <c r="A148" s="28">
        <v>38</v>
      </c>
      <c r="B148" s="80">
        <v>29710</v>
      </c>
      <c r="C148" s="80">
        <v>30220</v>
      </c>
      <c r="D148" s="80">
        <v>29910</v>
      </c>
      <c r="E148" s="80">
        <v>30610</v>
      </c>
      <c r="F148" s="80">
        <v>30300</v>
      </c>
      <c r="G148" s="80">
        <v>28910</v>
      </c>
      <c r="H148" s="80">
        <v>27940</v>
      </c>
      <c r="I148" s="80">
        <v>26840</v>
      </c>
      <c r="J148" s="80">
        <v>26070</v>
      </c>
      <c r="K148" s="80">
        <v>26310</v>
      </c>
      <c r="L148" s="28">
        <v>26000</v>
      </c>
      <c r="M148" s="28">
        <v>26980</v>
      </c>
      <c r="N148" s="28">
        <v>27700</v>
      </c>
      <c r="O148" s="28">
        <v>28660</v>
      </c>
      <c r="P148" s="28">
        <v>29070</v>
      </c>
      <c r="Q148" s="28">
        <v>30300</v>
      </c>
      <c r="R148" s="28">
        <v>30820</v>
      </c>
      <c r="S148" s="28">
        <v>31340</v>
      </c>
      <c r="T148" s="28">
        <v>32720</v>
      </c>
      <c r="U148" s="28">
        <v>34290</v>
      </c>
      <c r="V148" s="28">
        <v>35970</v>
      </c>
      <c r="W148" s="28">
        <v>38120</v>
      </c>
      <c r="X148" s="28">
        <v>40480</v>
      </c>
      <c r="Y148" s="28">
        <v>42550</v>
      </c>
      <c r="Z148" s="28">
        <v>42810</v>
      </c>
      <c r="AA148" s="28">
        <v>43220</v>
      </c>
      <c r="AB148" s="28">
        <v>42570</v>
      </c>
      <c r="AC148" s="28">
        <v>42740</v>
      </c>
      <c r="AD148" s="28">
        <v>42510</v>
      </c>
      <c r="AE148" s="28">
        <v>40840</v>
      </c>
      <c r="AF148" s="28">
        <v>39700</v>
      </c>
      <c r="AG148" s="28">
        <v>38440</v>
      </c>
      <c r="AH148" s="28">
        <v>38580</v>
      </c>
      <c r="AI148" s="28">
        <v>37160</v>
      </c>
      <c r="AJ148" s="28">
        <v>35380</v>
      </c>
      <c r="AK148" s="28">
        <v>35400</v>
      </c>
      <c r="AL148" s="28">
        <v>35890</v>
      </c>
      <c r="AM148" s="28">
        <v>35690</v>
      </c>
      <c r="AN148" s="28">
        <v>36240</v>
      </c>
      <c r="AO148" s="28">
        <v>37920</v>
      </c>
      <c r="AP148" s="28">
        <v>39230</v>
      </c>
      <c r="AQ148" s="28">
        <v>39610</v>
      </c>
      <c r="AR148" s="28">
        <v>39800</v>
      </c>
      <c r="AS148" s="28">
        <v>39140</v>
      </c>
      <c r="AT148" s="28">
        <v>38680</v>
      </c>
      <c r="AU148" s="28">
        <v>38380</v>
      </c>
      <c r="AV148" s="28">
        <v>37680</v>
      </c>
      <c r="AW148" s="28">
        <v>37600</v>
      </c>
      <c r="AX148" s="28">
        <v>37430</v>
      </c>
      <c r="AY148" s="28">
        <v>37870</v>
      </c>
      <c r="AZ148" s="28">
        <v>38490</v>
      </c>
      <c r="BA148" s="28">
        <v>39040</v>
      </c>
      <c r="BB148" s="28">
        <v>39510</v>
      </c>
      <c r="BC148" s="28">
        <v>39890</v>
      </c>
      <c r="BD148" s="28">
        <v>40140</v>
      </c>
      <c r="BE148" s="28">
        <v>40290</v>
      </c>
      <c r="BF148" s="28">
        <v>40370</v>
      </c>
      <c r="BG148" s="28">
        <v>40380</v>
      </c>
      <c r="BH148" s="28">
        <v>40330</v>
      </c>
      <c r="BI148" s="28">
        <v>40220</v>
      </c>
      <c r="BJ148" s="28">
        <v>40060</v>
      </c>
      <c r="BK148" s="28">
        <v>39860</v>
      </c>
      <c r="BL148" s="28">
        <v>39640</v>
      </c>
    </row>
    <row r="149" spans="1:64" x14ac:dyDescent="0.2">
      <c r="A149" s="28">
        <v>39</v>
      </c>
      <c r="B149" s="80">
        <v>29570</v>
      </c>
      <c r="C149" s="80">
        <v>29890</v>
      </c>
      <c r="D149" s="80">
        <v>30260</v>
      </c>
      <c r="E149" s="80">
        <v>30030</v>
      </c>
      <c r="F149" s="80">
        <v>30640</v>
      </c>
      <c r="G149" s="80">
        <v>30250</v>
      </c>
      <c r="H149" s="80">
        <v>28910</v>
      </c>
      <c r="I149" s="80">
        <v>28120</v>
      </c>
      <c r="J149" s="80">
        <v>27050</v>
      </c>
      <c r="K149" s="80">
        <v>26430</v>
      </c>
      <c r="L149" s="28">
        <v>26680</v>
      </c>
      <c r="M149" s="28">
        <v>26340</v>
      </c>
      <c r="N149" s="28">
        <v>27260</v>
      </c>
      <c r="O149" s="28">
        <v>27920</v>
      </c>
      <c r="P149" s="28">
        <v>28820</v>
      </c>
      <c r="Q149" s="28">
        <v>29180</v>
      </c>
      <c r="R149" s="28">
        <v>30350</v>
      </c>
      <c r="S149" s="28">
        <v>30870</v>
      </c>
      <c r="T149" s="28">
        <v>31390</v>
      </c>
      <c r="U149" s="28">
        <v>32780</v>
      </c>
      <c r="V149" s="28">
        <v>34340</v>
      </c>
      <c r="W149" s="28">
        <v>36020</v>
      </c>
      <c r="X149" s="28">
        <v>38170</v>
      </c>
      <c r="Y149" s="28">
        <v>40530</v>
      </c>
      <c r="Z149" s="28">
        <v>42600</v>
      </c>
      <c r="AA149" s="28">
        <v>42860</v>
      </c>
      <c r="AB149" s="28">
        <v>43260</v>
      </c>
      <c r="AC149" s="28">
        <v>42620</v>
      </c>
      <c r="AD149" s="28">
        <v>42780</v>
      </c>
      <c r="AE149" s="28">
        <v>42560</v>
      </c>
      <c r="AF149" s="28">
        <v>40890</v>
      </c>
      <c r="AG149" s="28">
        <v>39760</v>
      </c>
      <c r="AH149" s="28">
        <v>38490</v>
      </c>
      <c r="AI149" s="28">
        <v>38630</v>
      </c>
      <c r="AJ149" s="28">
        <v>37220</v>
      </c>
      <c r="AK149" s="28">
        <v>35440</v>
      </c>
      <c r="AL149" s="28">
        <v>35460</v>
      </c>
      <c r="AM149" s="28">
        <v>35950</v>
      </c>
      <c r="AN149" s="28">
        <v>35750</v>
      </c>
      <c r="AO149" s="28">
        <v>36300</v>
      </c>
      <c r="AP149" s="28">
        <v>37970</v>
      </c>
      <c r="AQ149" s="28">
        <v>39290</v>
      </c>
      <c r="AR149" s="28">
        <v>39670</v>
      </c>
      <c r="AS149" s="28">
        <v>39860</v>
      </c>
      <c r="AT149" s="28">
        <v>39200</v>
      </c>
      <c r="AU149" s="28">
        <v>38740</v>
      </c>
      <c r="AV149" s="28">
        <v>38440</v>
      </c>
      <c r="AW149" s="28">
        <v>37740</v>
      </c>
      <c r="AX149" s="28">
        <v>37660</v>
      </c>
      <c r="AY149" s="28">
        <v>37490</v>
      </c>
      <c r="AZ149" s="28">
        <v>37930</v>
      </c>
      <c r="BA149" s="28">
        <v>38550</v>
      </c>
      <c r="BB149" s="28">
        <v>39100</v>
      </c>
      <c r="BC149" s="28">
        <v>39570</v>
      </c>
      <c r="BD149" s="28">
        <v>39950</v>
      </c>
      <c r="BE149" s="28">
        <v>40200</v>
      </c>
      <c r="BF149" s="28">
        <v>40350</v>
      </c>
      <c r="BG149" s="28">
        <v>40430</v>
      </c>
      <c r="BH149" s="28">
        <v>40440</v>
      </c>
      <c r="BI149" s="28">
        <v>40390</v>
      </c>
      <c r="BJ149" s="28">
        <v>40280</v>
      </c>
      <c r="BK149" s="28">
        <v>40120</v>
      </c>
      <c r="BL149" s="28">
        <v>39930</v>
      </c>
    </row>
    <row r="150" spans="1:64" x14ac:dyDescent="0.2">
      <c r="A150" s="28">
        <v>40</v>
      </c>
      <c r="B150" s="80">
        <v>29920</v>
      </c>
      <c r="C150" s="80">
        <v>29750</v>
      </c>
      <c r="D150" s="80">
        <v>29950</v>
      </c>
      <c r="E150" s="80">
        <v>30360</v>
      </c>
      <c r="F150" s="80">
        <v>30050</v>
      </c>
      <c r="G150" s="80">
        <v>30610</v>
      </c>
      <c r="H150" s="80">
        <v>30210</v>
      </c>
      <c r="I150" s="80">
        <v>29000</v>
      </c>
      <c r="J150" s="80">
        <v>28310</v>
      </c>
      <c r="K150" s="80">
        <v>27320</v>
      </c>
      <c r="L150" s="28">
        <v>26830</v>
      </c>
      <c r="M150" s="28">
        <v>26980</v>
      </c>
      <c r="N150" s="28">
        <v>26590</v>
      </c>
      <c r="O150" s="28">
        <v>27460</v>
      </c>
      <c r="P150" s="28">
        <v>28070</v>
      </c>
      <c r="Q150" s="28">
        <v>28920</v>
      </c>
      <c r="R150" s="28">
        <v>29220</v>
      </c>
      <c r="S150" s="28">
        <v>30390</v>
      </c>
      <c r="T150" s="28">
        <v>30920</v>
      </c>
      <c r="U150" s="28">
        <v>31430</v>
      </c>
      <c r="V150" s="28">
        <v>32820</v>
      </c>
      <c r="W150" s="28">
        <v>34380</v>
      </c>
      <c r="X150" s="28">
        <v>36060</v>
      </c>
      <c r="Y150" s="28">
        <v>38200</v>
      </c>
      <c r="Z150" s="28">
        <v>40560</v>
      </c>
      <c r="AA150" s="28">
        <v>42630</v>
      </c>
      <c r="AB150" s="28">
        <v>42890</v>
      </c>
      <c r="AC150" s="28">
        <v>43300</v>
      </c>
      <c r="AD150" s="28">
        <v>42660</v>
      </c>
      <c r="AE150" s="28">
        <v>42820</v>
      </c>
      <c r="AF150" s="28">
        <v>42600</v>
      </c>
      <c r="AG150" s="28">
        <v>40930</v>
      </c>
      <c r="AH150" s="28">
        <v>39800</v>
      </c>
      <c r="AI150" s="28">
        <v>38540</v>
      </c>
      <c r="AJ150" s="28">
        <v>38680</v>
      </c>
      <c r="AK150" s="28">
        <v>37260</v>
      </c>
      <c r="AL150" s="28">
        <v>35480</v>
      </c>
      <c r="AM150" s="28">
        <v>35510</v>
      </c>
      <c r="AN150" s="28">
        <v>36000</v>
      </c>
      <c r="AO150" s="28">
        <v>35800</v>
      </c>
      <c r="AP150" s="28">
        <v>36350</v>
      </c>
      <c r="AQ150" s="28">
        <v>38020</v>
      </c>
      <c r="AR150" s="28">
        <v>39330</v>
      </c>
      <c r="AS150" s="28">
        <v>39720</v>
      </c>
      <c r="AT150" s="28">
        <v>39910</v>
      </c>
      <c r="AU150" s="28">
        <v>39250</v>
      </c>
      <c r="AV150" s="28">
        <v>38790</v>
      </c>
      <c r="AW150" s="28">
        <v>38490</v>
      </c>
      <c r="AX150" s="28">
        <v>37800</v>
      </c>
      <c r="AY150" s="28">
        <v>37720</v>
      </c>
      <c r="AZ150" s="28">
        <v>37540</v>
      </c>
      <c r="BA150" s="28">
        <v>37980</v>
      </c>
      <c r="BB150" s="28">
        <v>38600</v>
      </c>
      <c r="BC150" s="28">
        <v>39150</v>
      </c>
      <c r="BD150" s="28">
        <v>39630</v>
      </c>
      <c r="BE150" s="28">
        <v>40000</v>
      </c>
      <c r="BF150" s="28">
        <v>40250</v>
      </c>
      <c r="BG150" s="28">
        <v>40410</v>
      </c>
      <c r="BH150" s="28">
        <v>40490</v>
      </c>
      <c r="BI150" s="28">
        <v>40500</v>
      </c>
      <c r="BJ150" s="28">
        <v>40440</v>
      </c>
      <c r="BK150" s="28">
        <v>40330</v>
      </c>
      <c r="BL150" s="28">
        <v>40180</v>
      </c>
    </row>
    <row r="151" spans="1:64" x14ac:dyDescent="0.2">
      <c r="A151" s="28">
        <v>41</v>
      </c>
      <c r="B151" s="80">
        <v>30380</v>
      </c>
      <c r="C151" s="80">
        <v>30040</v>
      </c>
      <c r="D151" s="80">
        <v>29780</v>
      </c>
      <c r="E151" s="80">
        <v>30010</v>
      </c>
      <c r="F151" s="80">
        <v>30420</v>
      </c>
      <c r="G151" s="80">
        <v>30010</v>
      </c>
      <c r="H151" s="80">
        <v>30580</v>
      </c>
      <c r="I151" s="80">
        <v>30270</v>
      </c>
      <c r="J151" s="80">
        <v>29250</v>
      </c>
      <c r="K151" s="80">
        <v>28520</v>
      </c>
      <c r="L151" s="28">
        <v>27620</v>
      </c>
      <c r="M151" s="28">
        <v>27120</v>
      </c>
      <c r="N151" s="28">
        <v>27210</v>
      </c>
      <c r="O151" s="28">
        <v>26780</v>
      </c>
      <c r="P151" s="28">
        <v>27600</v>
      </c>
      <c r="Q151" s="28">
        <v>28160</v>
      </c>
      <c r="R151" s="28">
        <v>28950</v>
      </c>
      <c r="S151" s="28">
        <v>29260</v>
      </c>
      <c r="T151" s="28">
        <v>30430</v>
      </c>
      <c r="U151" s="28">
        <v>30950</v>
      </c>
      <c r="V151" s="28">
        <v>31470</v>
      </c>
      <c r="W151" s="28">
        <v>32850</v>
      </c>
      <c r="X151" s="28">
        <v>34420</v>
      </c>
      <c r="Y151" s="28">
        <v>36100</v>
      </c>
      <c r="Z151" s="28">
        <v>38240</v>
      </c>
      <c r="AA151" s="28">
        <v>40600</v>
      </c>
      <c r="AB151" s="28">
        <v>42660</v>
      </c>
      <c r="AC151" s="28">
        <v>42930</v>
      </c>
      <c r="AD151" s="28">
        <v>43330</v>
      </c>
      <c r="AE151" s="28">
        <v>42690</v>
      </c>
      <c r="AF151" s="28">
        <v>42860</v>
      </c>
      <c r="AG151" s="28">
        <v>42630</v>
      </c>
      <c r="AH151" s="28">
        <v>40970</v>
      </c>
      <c r="AI151" s="28">
        <v>39840</v>
      </c>
      <c r="AJ151" s="28">
        <v>38580</v>
      </c>
      <c r="AK151" s="28">
        <v>38720</v>
      </c>
      <c r="AL151" s="28">
        <v>37310</v>
      </c>
      <c r="AM151" s="28">
        <v>35530</v>
      </c>
      <c r="AN151" s="28">
        <v>35550</v>
      </c>
      <c r="AO151" s="28">
        <v>36040</v>
      </c>
      <c r="AP151" s="28">
        <v>35850</v>
      </c>
      <c r="AQ151" s="28">
        <v>36390</v>
      </c>
      <c r="AR151" s="28">
        <v>38070</v>
      </c>
      <c r="AS151" s="28">
        <v>39380</v>
      </c>
      <c r="AT151" s="28">
        <v>39760</v>
      </c>
      <c r="AU151" s="28">
        <v>39960</v>
      </c>
      <c r="AV151" s="28">
        <v>39300</v>
      </c>
      <c r="AW151" s="28">
        <v>38840</v>
      </c>
      <c r="AX151" s="28">
        <v>38530</v>
      </c>
      <c r="AY151" s="28">
        <v>37840</v>
      </c>
      <c r="AZ151" s="28">
        <v>37760</v>
      </c>
      <c r="BA151" s="28">
        <v>37590</v>
      </c>
      <c r="BB151" s="28">
        <v>38030</v>
      </c>
      <c r="BC151" s="28">
        <v>38650</v>
      </c>
      <c r="BD151" s="28">
        <v>39200</v>
      </c>
      <c r="BE151" s="28">
        <v>39680</v>
      </c>
      <c r="BF151" s="28">
        <v>40050</v>
      </c>
      <c r="BG151" s="28">
        <v>40300</v>
      </c>
      <c r="BH151" s="28">
        <v>40460</v>
      </c>
      <c r="BI151" s="28">
        <v>40540</v>
      </c>
      <c r="BJ151" s="28">
        <v>40550</v>
      </c>
      <c r="BK151" s="28">
        <v>40490</v>
      </c>
      <c r="BL151" s="28">
        <v>40390</v>
      </c>
    </row>
    <row r="152" spans="1:64" x14ac:dyDescent="0.2">
      <c r="A152" s="28">
        <v>42</v>
      </c>
      <c r="B152" s="80">
        <v>31600</v>
      </c>
      <c r="C152" s="80">
        <v>30480</v>
      </c>
      <c r="D152" s="80">
        <v>30040</v>
      </c>
      <c r="E152" s="80">
        <v>29810</v>
      </c>
      <c r="F152" s="80">
        <v>30060</v>
      </c>
      <c r="G152" s="80">
        <v>30400</v>
      </c>
      <c r="H152" s="80">
        <v>29940</v>
      </c>
      <c r="I152" s="80">
        <v>30650</v>
      </c>
      <c r="J152" s="80">
        <v>30370</v>
      </c>
      <c r="K152" s="80">
        <v>29440</v>
      </c>
      <c r="L152" s="28">
        <v>28820</v>
      </c>
      <c r="M152" s="28">
        <v>27880</v>
      </c>
      <c r="N152" s="28">
        <v>27330</v>
      </c>
      <c r="O152" s="28">
        <v>27380</v>
      </c>
      <c r="P152" s="28">
        <v>26900</v>
      </c>
      <c r="Q152" s="28">
        <v>27680</v>
      </c>
      <c r="R152" s="28">
        <v>28190</v>
      </c>
      <c r="S152" s="28">
        <v>28990</v>
      </c>
      <c r="T152" s="28">
        <v>29290</v>
      </c>
      <c r="U152" s="28">
        <v>30460</v>
      </c>
      <c r="V152" s="28">
        <v>30990</v>
      </c>
      <c r="W152" s="28">
        <v>31500</v>
      </c>
      <c r="X152" s="28">
        <v>32890</v>
      </c>
      <c r="Y152" s="28">
        <v>34450</v>
      </c>
      <c r="Z152" s="28">
        <v>36130</v>
      </c>
      <c r="AA152" s="28">
        <v>38270</v>
      </c>
      <c r="AB152" s="28">
        <v>40620</v>
      </c>
      <c r="AC152" s="28">
        <v>42690</v>
      </c>
      <c r="AD152" s="28">
        <v>42950</v>
      </c>
      <c r="AE152" s="28">
        <v>43360</v>
      </c>
      <c r="AF152" s="28">
        <v>42720</v>
      </c>
      <c r="AG152" s="28">
        <v>42880</v>
      </c>
      <c r="AH152" s="28">
        <v>42660</v>
      </c>
      <c r="AI152" s="28">
        <v>41000</v>
      </c>
      <c r="AJ152" s="28">
        <v>39870</v>
      </c>
      <c r="AK152" s="28">
        <v>38610</v>
      </c>
      <c r="AL152" s="28">
        <v>38760</v>
      </c>
      <c r="AM152" s="28">
        <v>37340</v>
      </c>
      <c r="AN152" s="28">
        <v>35570</v>
      </c>
      <c r="AO152" s="28">
        <v>35590</v>
      </c>
      <c r="AP152" s="28">
        <v>36080</v>
      </c>
      <c r="AQ152" s="28">
        <v>35890</v>
      </c>
      <c r="AR152" s="28">
        <v>36430</v>
      </c>
      <c r="AS152" s="28">
        <v>38110</v>
      </c>
      <c r="AT152" s="28">
        <v>39420</v>
      </c>
      <c r="AU152" s="28">
        <v>39800</v>
      </c>
      <c r="AV152" s="28">
        <v>40000</v>
      </c>
      <c r="AW152" s="28">
        <v>39340</v>
      </c>
      <c r="AX152" s="28">
        <v>38880</v>
      </c>
      <c r="AY152" s="28">
        <v>38580</v>
      </c>
      <c r="AZ152" s="28">
        <v>37890</v>
      </c>
      <c r="BA152" s="28">
        <v>37810</v>
      </c>
      <c r="BB152" s="28">
        <v>37630</v>
      </c>
      <c r="BC152" s="28">
        <v>38080</v>
      </c>
      <c r="BD152" s="28">
        <v>38690</v>
      </c>
      <c r="BE152" s="28">
        <v>39250</v>
      </c>
      <c r="BF152" s="28">
        <v>39720</v>
      </c>
      <c r="BG152" s="28">
        <v>40100</v>
      </c>
      <c r="BH152" s="28">
        <v>40350</v>
      </c>
      <c r="BI152" s="28">
        <v>40500</v>
      </c>
      <c r="BJ152" s="28">
        <v>40590</v>
      </c>
      <c r="BK152" s="28">
        <v>40600</v>
      </c>
      <c r="BL152" s="28">
        <v>40540</v>
      </c>
    </row>
    <row r="153" spans="1:64" x14ac:dyDescent="0.2">
      <c r="A153" s="28">
        <v>43</v>
      </c>
      <c r="B153" s="80">
        <v>31940</v>
      </c>
      <c r="C153" s="80">
        <v>31630</v>
      </c>
      <c r="D153" s="80">
        <v>30470</v>
      </c>
      <c r="E153" s="80">
        <v>30040</v>
      </c>
      <c r="F153" s="80">
        <v>29760</v>
      </c>
      <c r="G153" s="80">
        <v>30010</v>
      </c>
      <c r="H153" s="80">
        <v>30300</v>
      </c>
      <c r="I153" s="80">
        <v>29990</v>
      </c>
      <c r="J153" s="80">
        <v>30780</v>
      </c>
      <c r="K153" s="80">
        <v>30630</v>
      </c>
      <c r="L153" s="28">
        <v>29760</v>
      </c>
      <c r="M153" s="28">
        <v>29040</v>
      </c>
      <c r="N153" s="28">
        <v>28060</v>
      </c>
      <c r="O153" s="28">
        <v>27470</v>
      </c>
      <c r="P153" s="28">
        <v>27480</v>
      </c>
      <c r="Q153" s="28">
        <v>26960</v>
      </c>
      <c r="R153" s="28">
        <v>27700</v>
      </c>
      <c r="S153" s="28">
        <v>28220</v>
      </c>
      <c r="T153" s="28">
        <v>29010</v>
      </c>
      <c r="U153" s="28">
        <v>29320</v>
      </c>
      <c r="V153" s="28">
        <v>30480</v>
      </c>
      <c r="W153" s="28">
        <v>31010</v>
      </c>
      <c r="X153" s="28">
        <v>31530</v>
      </c>
      <c r="Y153" s="28">
        <v>32910</v>
      </c>
      <c r="Z153" s="28">
        <v>34470</v>
      </c>
      <c r="AA153" s="28">
        <v>36150</v>
      </c>
      <c r="AB153" s="28">
        <v>38290</v>
      </c>
      <c r="AC153" s="28">
        <v>40640</v>
      </c>
      <c r="AD153" s="28">
        <v>42710</v>
      </c>
      <c r="AE153" s="28">
        <v>42970</v>
      </c>
      <c r="AF153" s="28">
        <v>43370</v>
      </c>
      <c r="AG153" s="28">
        <v>42740</v>
      </c>
      <c r="AH153" s="28">
        <v>42900</v>
      </c>
      <c r="AI153" s="28">
        <v>42680</v>
      </c>
      <c r="AJ153" s="28">
        <v>41020</v>
      </c>
      <c r="AK153" s="28">
        <v>39890</v>
      </c>
      <c r="AL153" s="28">
        <v>38640</v>
      </c>
      <c r="AM153" s="28">
        <v>38780</v>
      </c>
      <c r="AN153" s="28">
        <v>37370</v>
      </c>
      <c r="AO153" s="28">
        <v>35600</v>
      </c>
      <c r="AP153" s="28">
        <v>35620</v>
      </c>
      <c r="AQ153" s="28">
        <v>36110</v>
      </c>
      <c r="AR153" s="28">
        <v>35920</v>
      </c>
      <c r="AS153" s="28">
        <v>36470</v>
      </c>
      <c r="AT153" s="28">
        <v>38140</v>
      </c>
      <c r="AU153" s="28">
        <v>39450</v>
      </c>
      <c r="AV153" s="28">
        <v>39840</v>
      </c>
      <c r="AW153" s="28">
        <v>40030</v>
      </c>
      <c r="AX153" s="28">
        <v>39370</v>
      </c>
      <c r="AY153" s="28">
        <v>38910</v>
      </c>
      <c r="AZ153" s="28">
        <v>38610</v>
      </c>
      <c r="BA153" s="28">
        <v>37920</v>
      </c>
      <c r="BB153" s="28">
        <v>37850</v>
      </c>
      <c r="BC153" s="28">
        <v>37670</v>
      </c>
      <c r="BD153" s="28">
        <v>38120</v>
      </c>
      <c r="BE153" s="28">
        <v>38730</v>
      </c>
      <c r="BF153" s="28">
        <v>39290</v>
      </c>
      <c r="BG153" s="28">
        <v>39760</v>
      </c>
      <c r="BH153" s="28">
        <v>40140</v>
      </c>
      <c r="BI153" s="28">
        <v>40390</v>
      </c>
      <c r="BJ153" s="28">
        <v>40540</v>
      </c>
      <c r="BK153" s="28">
        <v>40630</v>
      </c>
      <c r="BL153" s="28">
        <v>40640</v>
      </c>
    </row>
    <row r="154" spans="1:64" x14ac:dyDescent="0.2">
      <c r="A154" s="28">
        <v>44</v>
      </c>
      <c r="B154" s="80">
        <v>32110</v>
      </c>
      <c r="C154" s="80">
        <v>31970</v>
      </c>
      <c r="D154" s="80">
        <v>31540</v>
      </c>
      <c r="E154" s="80">
        <v>30420</v>
      </c>
      <c r="F154" s="80">
        <v>30060</v>
      </c>
      <c r="G154" s="80">
        <v>29670</v>
      </c>
      <c r="H154" s="80">
        <v>29920</v>
      </c>
      <c r="I154" s="80">
        <v>30260</v>
      </c>
      <c r="J154" s="80">
        <v>30120</v>
      </c>
      <c r="K154" s="80">
        <v>30950</v>
      </c>
      <c r="L154" s="28">
        <v>30890</v>
      </c>
      <c r="M154" s="28">
        <v>29950</v>
      </c>
      <c r="N154" s="28">
        <v>29200</v>
      </c>
      <c r="O154" s="28">
        <v>28180</v>
      </c>
      <c r="P154" s="28">
        <v>27560</v>
      </c>
      <c r="Q154" s="28">
        <v>27540</v>
      </c>
      <c r="R154" s="28">
        <v>26980</v>
      </c>
      <c r="S154" s="28">
        <v>27720</v>
      </c>
      <c r="T154" s="28">
        <v>28230</v>
      </c>
      <c r="U154" s="28">
        <v>29030</v>
      </c>
      <c r="V154" s="28">
        <v>29330</v>
      </c>
      <c r="W154" s="28">
        <v>30500</v>
      </c>
      <c r="X154" s="28">
        <v>31030</v>
      </c>
      <c r="Y154" s="28">
        <v>31540</v>
      </c>
      <c r="Z154" s="28">
        <v>32920</v>
      </c>
      <c r="AA154" s="28">
        <v>34490</v>
      </c>
      <c r="AB154" s="28">
        <v>36160</v>
      </c>
      <c r="AC154" s="28">
        <v>38300</v>
      </c>
      <c r="AD154" s="28">
        <v>40650</v>
      </c>
      <c r="AE154" s="28">
        <v>42710</v>
      </c>
      <c r="AF154" s="28">
        <v>42980</v>
      </c>
      <c r="AG154" s="28">
        <v>43380</v>
      </c>
      <c r="AH154" s="28">
        <v>42750</v>
      </c>
      <c r="AI154" s="28">
        <v>42920</v>
      </c>
      <c r="AJ154" s="28">
        <v>42700</v>
      </c>
      <c r="AK154" s="28">
        <v>41040</v>
      </c>
      <c r="AL154" s="28">
        <v>39910</v>
      </c>
      <c r="AM154" s="28">
        <v>38660</v>
      </c>
      <c r="AN154" s="28">
        <v>38800</v>
      </c>
      <c r="AO154" s="28">
        <v>37400</v>
      </c>
      <c r="AP154" s="28">
        <v>35620</v>
      </c>
      <c r="AQ154" s="28">
        <v>35650</v>
      </c>
      <c r="AR154" s="28">
        <v>36140</v>
      </c>
      <c r="AS154" s="28">
        <v>35950</v>
      </c>
      <c r="AT154" s="28">
        <v>36490</v>
      </c>
      <c r="AU154" s="28">
        <v>38160</v>
      </c>
      <c r="AV154" s="28">
        <v>39480</v>
      </c>
      <c r="AW154" s="28">
        <v>39860</v>
      </c>
      <c r="AX154" s="28">
        <v>40050</v>
      </c>
      <c r="AY154" s="28">
        <v>39400</v>
      </c>
      <c r="AZ154" s="28">
        <v>38940</v>
      </c>
      <c r="BA154" s="28">
        <v>38640</v>
      </c>
      <c r="BB154" s="28">
        <v>37950</v>
      </c>
      <c r="BC154" s="28">
        <v>37880</v>
      </c>
      <c r="BD154" s="28">
        <v>37700</v>
      </c>
      <c r="BE154" s="28">
        <v>38150</v>
      </c>
      <c r="BF154" s="28">
        <v>38760</v>
      </c>
      <c r="BG154" s="28">
        <v>39320</v>
      </c>
      <c r="BH154" s="28">
        <v>39790</v>
      </c>
      <c r="BI154" s="28">
        <v>40170</v>
      </c>
      <c r="BJ154" s="28">
        <v>40420</v>
      </c>
      <c r="BK154" s="28">
        <v>40580</v>
      </c>
      <c r="BL154" s="28">
        <v>40660</v>
      </c>
    </row>
    <row r="155" spans="1:64" x14ac:dyDescent="0.2">
      <c r="A155" s="28">
        <v>45</v>
      </c>
      <c r="B155" s="80">
        <v>31490</v>
      </c>
      <c r="C155" s="80">
        <v>32140</v>
      </c>
      <c r="D155" s="80">
        <v>31920</v>
      </c>
      <c r="E155" s="80">
        <v>31530</v>
      </c>
      <c r="F155" s="80">
        <v>30400</v>
      </c>
      <c r="G155" s="80">
        <v>29970</v>
      </c>
      <c r="H155" s="80">
        <v>29530</v>
      </c>
      <c r="I155" s="80">
        <v>29930</v>
      </c>
      <c r="J155" s="80">
        <v>30380</v>
      </c>
      <c r="K155" s="80">
        <v>30250</v>
      </c>
      <c r="L155" s="28">
        <v>31160</v>
      </c>
      <c r="M155" s="28">
        <v>31050</v>
      </c>
      <c r="N155" s="28">
        <v>30090</v>
      </c>
      <c r="O155" s="28">
        <v>29300</v>
      </c>
      <c r="P155" s="28">
        <v>28260</v>
      </c>
      <c r="Q155" s="28">
        <v>27600</v>
      </c>
      <c r="R155" s="28">
        <v>27540</v>
      </c>
      <c r="S155" s="28">
        <v>26990</v>
      </c>
      <c r="T155" s="28">
        <v>27720</v>
      </c>
      <c r="U155" s="28">
        <v>28240</v>
      </c>
      <c r="V155" s="28">
        <v>29030</v>
      </c>
      <c r="W155" s="28">
        <v>29340</v>
      </c>
      <c r="X155" s="28">
        <v>30510</v>
      </c>
      <c r="Y155" s="28">
        <v>31030</v>
      </c>
      <c r="Z155" s="28">
        <v>31550</v>
      </c>
      <c r="AA155" s="28">
        <v>32930</v>
      </c>
      <c r="AB155" s="28">
        <v>34490</v>
      </c>
      <c r="AC155" s="28">
        <v>36170</v>
      </c>
      <c r="AD155" s="28">
        <v>38300</v>
      </c>
      <c r="AE155" s="28">
        <v>40650</v>
      </c>
      <c r="AF155" s="28">
        <v>42710</v>
      </c>
      <c r="AG155" s="28">
        <v>42980</v>
      </c>
      <c r="AH155" s="28">
        <v>43380</v>
      </c>
      <c r="AI155" s="28">
        <v>42750</v>
      </c>
      <c r="AJ155" s="28">
        <v>42920</v>
      </c>
      <c r="AK155" s="28">
        <v>42700</v>
      </c>
      <c r="AL155" s="28">
        <v>41050</v>
      </c>
      <c r="AM155" s="28">
        <v>39920</v>
      </c>
      <c r="AN155" s="28">
        <v>38670</v>
      </c>
      <c r="AO155" s="28">
        <v>38810</v>
      </c>
      <c r="AP155" s="28">
        <v>37410</v>
      </c>
      <c r="AQ155" s="28">
        <v>35640</v>
      </c>
      <c r="AR155" s="28">
        <v>35670</v>
      </c>
      <c r="AS155" s="28">
        <v>36160</v>
      </c>
      <c r="AT155" s="28">
        <v>35960</v>
      </c>
      <c r="AU155" s="28">
        <v>36510</v>
      </c>
      <c r="AV155" s="28">
        <v>38180</v>
      </c>
      <c r="AW155" s="28">
        <v>39490</v>
      </c>
      <c r="AX155" s="28">
        <v>39880</v>
      </c>
      <c r="AY155" s="28">
        <v>40070</v>
      </c>
      <c r="AZ155" s="28">
        <v>39420</v>
      </c>
      <c r="BA155" s="28">
        <v>38960</v>
      </c>
      <c r="BB155" s="28">
        <v>38660</v>
      </c>
      <c r="BC155" s="28">
        <v>37980</v>
      </c>
      <c r="BD155" s="28">
        <v>37900</v>
      </c>
      <c r="BE155" s="28">
        <v>37730</v>
      </c>
      <c r="BF155" s="28">
        <v>38170</v>
      </c>
      <c r="BG155" s="28">
        <v>38790</v>
      </c>
      <c r="BH155" s="28">
        <v>39340</v>
      </c>
      <c r="BI155" s="28">
        <v>39820</v>
      </c>
      <c r="BJ155" s="28">
        <v>40190</v>
      </c>
      <c r="BK155" s="28">
        <v>40450</v>
      </c>
      <c r="BL155" s="28">
        <v>40600</v>
      </c>
    </row>
    <row r="156" spans="1:64" x14ac:dyDescent="0.2">
      <c r="A156" s="28">
        <v>46</v>
      </c>
      <c r="B156" s="80">
        <v>30540</v>
      </c>
      <c r="C156" s="80">
        <v>31420</v>
      </c>
      <c r="D156" s="80">
        <v>32070</v>
      </c>
      <c r="E156" s="80">
        <v>31870</v>
      </c>
      <c r="F156" s="80">
        <v>31460</v>
      </c>
      <c r="G156" s="80">
        <v>30290</v>
      </c>
      <c r="H156" s="80">
        <v>29820</v>
      </c>
      <c r="I156" s="80">
        <v>29520</v>
      </c>
      <c r="J156" s="80">
        <v>29960</v>
      </c>
      <c r="K156" s="80">
        <v>30490</v>
      </c>
      <c r="L156" s="28">
        <v>30450</v>
      </c>
      <c r="M156" s="28">
        <v>31290</v>
      </c>
      <c r="N156" s="28">
        <v>31160</v>
      </c>
      <c r="O156" s="28">
        <v>30160</v>
      </c>
      <c r="P156" s="28">
        <v>29350</v>
      </c>
      <c r="Q156" s="28">
        <v>28280</v>
      </c>
      <c r="R156" s="28">
        <v>27590</v>
      </c>
      <c r="S156" s="28">
        <v>27540</v>
      </c>
      <c r="T156" s="28">
        <v>26980</v>
      </c>
      <c r="U156" s="28">
        <v>27720</v>
      </c>
      <c r="V156" s="28">
        <v>28240</v>
      </c>
      <c r="W156" s="28">
        <v>29030</v>
      </c>
      <c r="X156" s="28">
        <v>29340</v>
      </c>
      <c r="Y156" s="28">
        <v>30500</v>
      </c>
      <c r="Z156" s="28">
        <v>31030</v>
      </c>
      <c r="AA156" s="28">
        <v>31550</v>
      </c>
      <c r="AB156" s="28">
        <v>32930</v>
      </c>
      <c r="AC156" s="28">
        <v>34490</v>
      </c>
      <c r="AD156" s="28">
        <v>36160</v>
      </c>
      <c r="AE156" s="28">
        <v>38290</v>
      </c>
      <c r="AF156" s="28">
        <v>40640</v>
      </c>
      <c r="AG156" s="28">
        <v>42700</v>
      </c>
      <c r="AH156" s="28">
        <v>42970</v>
      </c>
      <c r="AI156" s="28">
        <v>43370</v>
      </c>
      <c r="AJ156" s="28">
        <v>42740</v>
      </c>
      <c r="AK156" s="28">
        <v>42910</v>
      </c>
      <c r="AL156" s="28">
        <v>42700</v>
      </c>
      <c r="AM156" s="28">
        <v>41040</v>
      </c>
      <c r="AN156" s="28">
        <v>39920</v>
      </c>
      <c r="AO156" s="28">
        <v>38670</v>
      </c>
      <c r="AP156" s="28">
        <v>38820</v>
      </c>
      <c r="AQ156" s="28">
        <v>37410</v>
      </c>
      <c r="AR156" s="28">
        <v>35640</v>
      </c>
      <c r="AS156" s="28">
        <v>35670</v>
      </c>
      <c r="AT156" s="28">
        <v>36160</v>
      </c>
      <c r="AU156" s="28">
        <v>35970</v>
      </c>
      <c r="AV156" s="28">
        <v>36520</v>
      </c>
      <c r="AW156" s="28">
        <v>38190</v>
      </c>
      <c r="AX156" s="28">
        <v>39500</v>
      </c>
      <c r="AY156" s="28">
        <v>39890</v>
      </c>
      <c r="AZ156" s="28">
        <v>40080</v>
      </c>
      <c r="BA156" s="28">
        <v>39430</v>
      </c>
      <c r="BB156" s="28">
        <v>38970</v>
      </c>
      <c r="BC156" s="28">
        <v>38670</v>
      </c>
      <c r="BD156" s="28">
        <v>37990</v>
      </c>
      <c r="BE156" s="28">
        <v>37910</v>
      </c>
      <c r="BF156" s="28">
        <v>37740</v>
      </c>
      <c r="BG156" s="28">
        <v>38180</v>
      </c>
      <c r="BH156" s="28">
        <v>38800</v>
      </c>
      <c r="BI156" s="28">
        <v>39360</v>
      </c>
      <c r="BJ156" s="28">
        <v>39830</v>
      </c>
      <c r="BK156" s="28">
        <v>40210</v>
      </c>
      <c r="BL156" s="28">
        <v>40460</v>
      </c>
    </row>
    <row r="157" spans="1:64" x14ac:dyDescent="0.2">
      <c r="A157" s="28">
        <v>47</v>
      </c>
      <c r="B157" s="80">
        <v>30080</v>
      </c>
      <c r="C157" s="80">
        <v>30470</v>
      </c>
      <c r="D157" s="80">
        <v>31270</v>
      </c>
      <c r="E157" s="80">
        <v>31960</v>
      </c>
      <c r="F157" s="80">
        <v>31720</v>
      </c>
      <c r="G157" s="80">
        <v>31300</v>
      </c>
      <c r="H157" s="80">
        <v>30150</v>
      </c>
      <c r="I157" s="80">
        <v>29680</v>
      </c>
      <c r="J157" s="80">
        <v>29530</v>
      </c>
      <c r="K157" s="80">
        <v>30030</v>
      </c>
      <c r="L157" s="28">
        <v>30610</v>
      </c>
      <c r="M157" s="28">
        <v>30550</v>
      </c>
      <c r="N157" s="28">
        <v>31360</v>
      </c>
      <c r="O157" s="28">
        <v>31210</v>
      </c>
      <c r="P157" s="28">
        <v>30190</v>
      </c>
      <c r="Q157" s="28">
        <v>29350</v>
      </c>
      <c r="R157" s="28">
        <v>28250</v>
      </c>
      <c r="S157" s="28">
        <v>27570</v>
      </c>
      <c r="T157" s="28">
        <v>27510</v>
      </c>
      <c r="U157" s="28">
        <v>26960</v>
      </c>
      <c r="V157" s="28">
        <v>27700</v>
      </c>
      <c r="W157" s="28">
        <v>28220</v>
      </c>
      <c r="X157" s="28">
        <v>29010</v>
      </c>
      <c r="Y157" s="28">
        <v>29320</v>
      </c>
      <c r="Z157" s="28">
        <v>30480</v>
      </c>
      <c r="AA157" s="28">
        <v>31010</v>
      </c>
      <c r="AB157" s="28">
        <v>31530</v>
      </c>
      <c r="AC157" s="28">
        <v>32910</v>
      </c>
      <c r="AD157" s="28">
        <v>34460</v>
      </c>
      <c r="AE157" s="28">
        <v>36140</v>
      </c>
      <c r="AF157" s="28">
        <v>38270</v>
      </c>
      <c r="AG157" s="28">
        <v>40610</v>
      </c>
      <c r="AH157" s="28">
        <v>42670</v>
      </c>
      <c r="AI157" s="28">
        <v>42940</v>
      </c>
      <c r="AJ157" s="28">
        <v>43350</v>
      </c>
      <c r="AK157" s="28">
        <v>42720</v>
      </c>
      <c r="AL157" s="28">
        <v>42890</v>
      </c>
      <c r="AM157" s="28">
        <v>42670</v>
      </c>
      <c r="AN157" s="28">
        <v>41020</v>
      </c>
      <c r="AO157" s="28">
        <v>39900</v>
      </c>
      <c r="AP157" s="28">
        <v>38660</v>
      </c>
      <c r="AQ157" s="28">
        <v>38800</v>
      </c>
      <c r="AR157" s="28">
        <v>37400</v>
      </c>
      <c r="AS157" s="28">
        <v>35640</v>
      </c>
      <c r="AT157" s="28">
        <v>35670</v>
      </c>
      <c r="AU157" s="28">
        <v>36150</v>
      </c>
      <c r="AV157" s="28">
        <v>35960</v>
      </c>
      <c r="AW157" s="28">
        <v>36510</v>
      </c>
      <c r="AX157" s="28">
        <v>38180</v>
      </c>
      <c r="AY157" s="28">
        <v>39490</v>
      </c>
      <c r="AZ157" s="28">
        <v>39880</v>
      </c>
      <c r="BA157" s="28">
        <v>40070</v>
      </c>
      <c r="BB157" s="28">
        <v>39420</v>
      </c>
      <c r="BC157" s="28">
        <v>38970</v>
      </c>
      <c r="BD157" s="28">
        <v>38670</v>
      </c>
      <c r="BE157" s="28">
        <v>37990</v>
      </c>
      <c r="BF157" s="28">
        <v>37910</v>
      </c>
      <c r="BG157" s="28">
        <v>37740</v>
      </c>
      <c r="BH157" s="28">
        <v>38180</v>
      </c>
      <c r="BI157" s="28">
        <v>38800</v>
      </c>
      <c r="BJ157" s="28">
        <v>39360</v>
      </c>
      <c r="BK157" s="28">
        <v>39830</v>
      </c>
      <c r="BL157" s="28">
        <v>40210</v>
      </c>
    </row>
    <row r="158" spans="1:64" x14ac:dyDescent="0.2">
      <c r="A158" s="28">
        <v>48</v>
      </c>
      <c r="B158" s="80">
        <v>28610</v>
      </c>
      <c r="C158" s="80">
        <v>30010</v>
      </c>
      <c r="D158" s="80">
        <v>30340</v>
      </c>
      <c r="E158" s="80">
        <v>31240</v>
      </c>
      <c r="F158" s="80">
        <v>31890</v>
      </c>
      <c r="G158" s="80">
        <v>31530</v>
      </c>
      <c r="H158" s="80">
        <v>31110</v>
      </c>
      <c r="I158" s="80">
        <v>30000</v>
      </c>
      <c r="J158" s="80">
        <v>29660</v>
      </c>
      <c r="K158" s="80">
        <v>29580</v>
      </c>
      <c r="L158" s="28">
        <v>30160</v>
      </c>
      <c r="M158" s="28">
        <v>30690</v>
      </c>
      <c r="N158" s="28">
        <v>30600</v>
      </c>
      <c r="O158" s="28">
        <v>31390</v>
      </c>
      <c r="P158" s="28">
        <v>31210</v>
      </c>
      <c r="Q158" s="28">
        <v>30170</v>
      </c>
      <c r="R158" s="28">
        <v>29310</v>
      </c>
      <c r="S158" s="28">
        <v>28210</v>
      </c>
      <c r="T158" s="28">
        <v>27530</v>
      </c>
      <c r="U158" s="28">
        <v>27480</v>
      </c>
      <c r="V158" s="28">
        <v>26930</v>
      </c>
      <c r="W158" s="28">
        <v>27670</v>
      </c>
      <c r="X158" s="28">
        <v>28180</v>
      </c>
      <c r="Y158" s="28">
        <v>28970</v>
      </c>
      <c r="Z158" s="28">
        <v>29280</v>
      </c>
      <c r="AA158" s="28">
        <v>30450</v>
      </c>
      <c r="AB158" s="28">
        <v>30970</v>
      </c>
      <c r="AC158" s="28">
        <v>31490</v>
      </c>
      <c r="AD158" s="28">
        <v>32870</v>
      </c>
      <c r="AE158" s="28">
        <v>34430</v>
      </c>
      <c r="AF158" s="28">
        <v>36100</v>
      </c>
      <c r="AG158" s="28">
        <v>38230</v>
      </c>
      <c r="AH158" s="28">
        <v>40570</v>
      </c>
      <c r="AI158" s="28">
        <v>42630</v>
      </c>
      <c r="AJ158" s="28">
        <v>42900</v>
      </c>
      <c r="AK158" s="28">
        <v>43310</v>
      </c>
      <c r="AL158" s="28">
        <v>42680</v>
      </c>
      <c r="AM158" s="28">
        <v>42850</v>
      </c>
      <c r="AN158" s="28">
        <v>42640</v>
      </c>
      <c r="AO158" s="28">
        <v>40990</v>
      </c>
      <c r="AP158" s="28">
        <v>39870</v>
      </c>
      <c r="AQ158" s="28">
        <v>38630</v>
      </c>
      <c r="AR158" s="28">
        <v>38770</v>
      </c>
      <c r="AS158" s="28">
        <v>37380</v>
      </c>
      <c r="AT158" s="28">
        <v>35610</v>
      </c>
      <c r="AU158" s="28">
        <v>35640</v>
      </c>
      <c r="AV158" s="28">
        <v>36130</v>
      </c>
      <c r="AW158" s="28">
        <v>35940</v>
      </c>
      <c r="AX158" s="28">
        <v>36490</v>
      </c>
      <c r="AY158" s="28">
        <v>38160</v>
      </c>
      <c r="AZ158" s="28">
        <v>39470</v>
      </c>
      <c r="BA158" s="28">
        <v>39860</v>
      </c>
      <c r="BB158" s="28">
        <v>40050</v>
      </c>
      <c r="BC158" s="28">
        <v>39400</v>
      </c>
      <c r="BD158" s="28">
        <v>38950</v>
      </c>
      <c r="BE158" s="28">
        <v>38650</v>
      </c>
      <c r="BF158" s="28">
        <v>37970</v>
      </c>
      <c r="BG158" s="28">
        <v>37900</v>
      </c>
      <c r="BH158" s="28">
        <v>37720</v>
      </c>
      <c r="BI158" s="28">
        <v>38170</v>
      </c>
      <c r="BJ158" s="28">
        <v>38790</v>
      </c>
      <c r="BK158" s="28">
        <v>39340</v>
      </c>
      <c r="BL158" s="28">
        <v>39820</v>
      </c>
    </row>
    <row r="159" spans="1:64" x14ac:dyDescent="0.2">
      <c r="A159" s="28">
        <v>49</v>
      </c>
      <c r="B159" s="80">
        <v>28400</v>
      </c>
      <c r="C159" s="80">
        <v>28490</v>
      </c>
      <c r="D159" s="80">
        <v>29860</v>
      </c>
      <c r="E159" s="80">
        <v>30220</v>
      </c>
      <c r="F159" s="80">
        <v>31130</v>
      </c>
      <c r="G159" s="80">
        <v>31760</v>
      </c>
      <c r="H159" s="80">
        <v>31330</v>
      </c>
      <c r="I159" s="80">
        <v>30960</v>
      </c>
      <c r="J159" s="80">
        <v>29980</v>
      </c>
      <c r="K159" s="80">
        <v>29710</v>
      </c>
      <c r="L159" s="28">
        <v>29620</v>
      </c>
      <c r="M159" s="28">
        <v>30210</v>
      </c>
      <c r="N159" s="28">
        <v>30710</v>
      </c>
      <c r="O159" s="28">
        <v>30610</v>
      </c>
      <c r="P159" s="28">
        <v>31370</v>
      </c>
      <c r="Q159" s="28">
        <v>31170</v>
      </c>
      <c r="R159" s="28">
        <v>30110</v>
      </c>
      <c r="S159" s="28">
        <v>29250</v>
      </c>
      <c r="T159" s="28">
        <v>28160</v>
      </c>
      <c r="U159" s="28">
        <v>27480</v>
      </c>
      <c r="V159" s="28">
        <v>27430</v>
      </c>
      <c r="W159" s="28">
        <v>26880</v>
      </c>
      <c r="X159" s="28">
        <v>27620</v>
      </c>
      <c r="Y159" s="28">
        <v>28140</v>
      </c>
      <c r="Z159" s="28">
        <v>28930</v>
      </c>
      <c r="AA159" s="28">
        <v>29240</v>
      </c>
      <c r="AB159" s="28">
        <v>30400</v>
      </c>
      <c r="AC159" s="28">
        <v>30930</v>
      </c>
      <c r="AD159" s="28">
        <v>31450</v>
      </c>
      <c r="AE159" s="28">
        <v>32820</v>
      </c>
      <c r="AF159" s="28">
        <v>34380</v>
      </c>
      <c r="AG159" s="28">
        <v>36050</v>
      </c>
      <c r="AH159" s="28">
        <v>38180</v>
      </c>
      <c r="AI159" s="28">
        <v>40520</v>
      </c>
      <c r="AJ159" s="28">
        <v>42580</v>
      </c>
      <c r="AK159" s="28">
        <v>42850</v>
      </c>
      <c r="AL159" s="28">
        <v>43250</v>
      </c>
      <c r="AM159" s="28">
        <v>42630</v>
      </c>
      <c r="AN159" s="28">
        <v>42800</v>
      </c>
      <c r="AO159" s="28">
        <v>42590</v>
      </c>
      <c r="AP159" s="28">
        <v>40940</v>
      </c>
      <c r="AQ159" s="28">
        <v>39830</v>
      </c>
      <c r="AR159" s="28">
        <v>38590</v>
      </c>
      <c r="AS159" s="28">
        <v>38740</v>
      </c>
      <c r="AT159" s="28">
        <v>37340</v>
      </c>
      <c r="AU159" s="28">
        <v>35580</v>
      </c>
      <c r="AV159" s="28">
        <v>35610</v>
      </c>
      <c r="AW159" s="28">
        <v>36100</v>
      </c>
      <c r="AX159" s="28">
        <v>35910</v>
      </c>
      <c r="AY159" s="28">
        <v>36460</v>
      </c>
      <c r="AZ159" s="28">
        <v>38130</v>
      </c>
      <c r="BA159" s="28">
        <v>39440</v>
      </c>
      <c r="BB159" s="28">
        <v>39830</v>
      </c>
      <c r="BC159" s="28">
        <v>40020</v>
      </c>
      <c r="BD159" s="28">
        <v>39370</v>
      </c>
      <c r="BE159" s="28">
        <v>38920</v>
      </c>
      <c r="BF159" s="28">
        <v>38630</v>
      </c>
      <c r="BG159" s="28">
        <v>37940</v>
      </c>
      <c r="BH159" s="28">
        <v>37870</v>
      </c>
      <c r="BI159" s="28">
        <v>37700</v>
      </c>
      <c r="BJ159" s="28">
        <v>38150</v>
      </c>
      <c r="BK159" s="28">
        <v>38760</v>
      </c>
      <c r="BL159" s="28">
        <v>39320</v>
      </c>
    </row>
    <row r="160" spans="1:64" x14ac:dyDescent="0.2">
      <c r="A160" s="28">
        <v>50</v>
      </c>
      <c r="B160" s="80">
        <v>27750</v>
      </c>
      <c r="C160" s="80">
        <v>28300</v>
      </c>
      <c r="D160" s="80">
        <v>28330</v>
      </c>
      <c r="E160" s="80">
        <v>29730</v>
      </c>
      <c r="F160" s="80">
        <v>30080</v>
      </c>
      <c r="G160" s="80">
        <v>30940</v>
      </c>
      <c r="H160" s="80">
        <v>31520</v>
      </c>
      <c r="I160" s="80">
        <v>31200</v>
      </c>
      <c r="J160" s="80">
        <v>30950</v>
      </c>
      <c r="K160" s="80">
        <v>29980</v>
      </c>
      <c r="L160" s="28">
        <v>29790</v>
      </c>
      <c r="M160" s="28">
        <v>29650</v>
      </c>
      <c r="N160" s="28">
        <v>30220</v>
      </c>
      <c r="O160" s="28">
        <v>30700</v>
      </c>
      <c r="P160" s="28">
        <v>30580</v>
      </c>
      <c r="Q160" s="28">
        <v>31320</v>
      </c>
      <c r="R160" s="28">
        <v>31100</v>
      </c>
      <c r="S160" s="28">
        <v>30040</v>
      </c>
      <c r="T160" s="28">
        <v>29190</v>
      </c>
      <c r="U160" s="28">
        <v>28100</v>
      </c>
      <c r="V160" s="28">
        <v>27420</v>
      </c>
      <c r="W160" s="28">
        <v>27370</v>
      </c>
      <c r="X160" s="28">
        <v>26830</v>
      </c>
      <c r="Y160" s="28">
        <v>27560</v>
      </c>
      <c r="Z160" s="28">
        <v>28080</v>
      </c>
      <c r="AA160" s="28">
        <v>28870</v>
      </c>
      <c r="AB160" s="28">
        <v>29180</v>
      </c>
      <c r="AC160" s="28">
        <v>30350</v>
      </c>
      <c r="AD160" s="28">
        <v>30870</v>
      </c>
      <c r="AE160" s="28">
        <v>31390</v>
      </c>
      <c r="AF160" s="28">
        <v>32770</v>
      </c>
      <c r="AG160" s="28">
        <v>34320</v>
      </c>
      <c r="AH160" s="28">
        <v>35990</v>
      </c>
      <c r="AI160" s="28">
        <v>38120</v>
      </c>
      <c r="AJ160" s="28">
        <v>40460</v>
      </c>
      <c r="AK160" s="28">
        <v>42520</v>
      </c>
      <c r="AL160" s="28">
        <v>42780</v>
      </c>
      <c r="AM160" s="28">
        <v>43190</v>
      </c>
      <c r="AN160" s="28">
        <v>42570</v>
      </c>
      <c r="AO160" s="28">
        <v>42740</v>
      </c>
      <c r="AP160" s="28">
        <v>42530</v>
      </c>
      <c r="AQ160" s="28">
        <v>40890</v>
      </c>
      <c r="AR160" s="28">
        <v>39780</v>
      </c>
      <c r="AS160" s="28">
        <v>38540</v>
      </c>
      <c r="AT160" s="28">
        <v>38690</v>
      </c>
      <c r="AU160" s="28">
        <v>37300</v>
      </c>
      <c r="AV160" s="28">
        <v>35540</v>
      </c>
      <c r="AW160" s="28">
        <v>35570</v>
      </c>
      <c r="AX160" s="28">
        <v>36060</v>
      </c>
      <c r="AY160" s="28">
        <v>35870</v>
      </c>
      <c r="AZ160" s="28">
        <v>36420</v>
      </c>
      <c r="BA160" s="28">
        <v>38090</v>
      </c>
      <c r="BB160" s="28">
        <v>39400</v>
      </c>
      <c r="BC160" s="28">
        <v>39790</v>
      </c>
      <c r="BD160" s="28">
        <v>39980</v>
      </c>
      <c r="BE160" s="28">
        <v>39340</v>
      </c>
      <c r="BF160" s="28">
        <v>38890</v>
      </c>
      <c r="BG160" s="28">
        <v>38590</v>
      </c>
      <c r="BH160" s="28">
        <v>37910</v>
      </c>
      <c r="BI160" s="28">
        <v>37840</v>
      </c>
      <c r="BJ160" s="28">
        <v>37670</v>
      </c>
      <c r="BK160" s="28">
        <v>38110</v>
      </c>
      <c r="BL160" s="28">
        <v>38730</v>
      </c>
    </row>
    <row r="161" spans="1:64" x14ac:dyDescent="0.2">
      <c r="A161" s="28">
        <v>51</v>
      </c>
      <c r="B161" s="80">
        <v>26550</v>
      </c>
      <c r="C161" s="80">
        <v>27630</v>
      </c>
      <c r="D161" s="80">
        <v>28160</v>
      </c>
      <c r="E161" s="80">
        <v>28190</v>
      </c>
      <c r="F161" s="80">
        <v>29630</v>
      </c>
      <c r="G161" s="80">
        <v>29880</v>
      </c>
      <c r="H161" s="80">
        <v>30740</v>
      </c>
      <c r="I161" s="80">
        <v>31370</v>
      </c>
      <c r="J161" s="80">
        <v>31170</v>
      </c>
      <c r="K161" s="80">
        <v>30930</v>
      </c>
      <c r="L161" s="28">
        <v>30020</v>
      </c>
      <c r="M161" s="28">
        <v>29800</v>
      </c>
      <c r="N161" s="28">
        <v>29650</v>
      </c>
      <c r="O161" s="28">
        <v>30200</v>
      </c>
      <c r="P161" s="28">
        <v>30660</v>
      </c>
      <c r="Q161" s="28">
        <v>30520</v>
      </c>
      <c r="R161" s="28">
        <v>31240</v>
      </c>
      <c r="S161" s="28">
        <v>31020</v>
      </c>
      <c r="T161" s="28">
        <v>29960</v>
      </c>
      <c r="U161" s="28">
        <v>29120</v>
      </c>
      <c r="V161" s="28">
        <v>28030</v>
      </c>
      <c r="W161" s="28">
        <v>27360</v>
      </c>
      <c r="X161" s="28">
        <v>27310</v>
      </c>
      <c r="Y161" s="28">
        <v>26770</v>
      </c>
      <c r="Z161" s="28">
        <v>27500</v>
      </c>
      <c r="AA161" s="28">
        <v>28020</v>
      </c>
      <c r="AB161" s="28">
        <v>28810</v>
      </c>
      <c r="AC161" s="28">
        <v>29120</v>
      </c>
      <c r="AD161" s="28">
        <v>30280</v>
      </c>
      <c r="AE161" s="28">
        <v>30810</v>
      </c>
      <c r="AF161" s="28">
        <v>31330</v>
      </c>
      <c r="AG161" s="28">
        <v>32710</v>
      </c>
      <c r="AH161" s="28">
        <v>34260</v>
      </c>
      <c r="AI161" s="28">
        <v>35930</v>
      </c>
      <c r="AJ161" s="28">
        <v>38050</v>
      </c>
      <c r="AK161" s="28">
        <v>40390</v>
      </c>
      <c r="AL161" s="28">
        <v>42450</v>
      </c>
      <c r="AM161" s="28">
        <v>42720</v>
      </c>
      <c r="AN161" s="28">
        <v>43130</v>
      </c>
      <c r="AO161" s="28">
        <v>42510</v>
      </c>
      <c r="AP161" s="28">
        <v>42680</v>
      </c>
      <c r="AQ161" s="28">
        <v>42470</v>
      </c>
      <c r="AR161" s="28">
        <v>40830</v>
      </c>
      <c r="AS161" s="28">
        <v>39720</v>
      </c>
      <c r="AT161" s="28">
        <v>38490</v>
      </c>
      <c r="AU161" s="28">
        <v>38640</v>
      </c>
      <c r="AV161" s="28">
        <v>37250</v>
      </c>
      <c r="AW161" s="28">
        <v>35490</v>
      </c>
      <c r="AX161" s="28">
        <v>35520</v>
      </c>
      <c r="AY161" s="28">
        <v>36020</v>
      </c>
      <c r="AZ161" s="28">
        <v>35830</v>
      </c>
      <c r="BA161" s="28">
        <v>36380</v>
      </c>
      <c r="BB161" s="28">
        <v>38050</v>
      </c>
      <c r="BC161" s="28">
        <v>39350</v>
      </c>
      <c r="BD161" s="28">
        <v>39740</v>
      </c>
      <c r="BE161" s="28">
        <v>39940</v>
      </c>
      <c r="BF161" s="28">
        <v>39290</v>
      </c>
      <c r="BG161" s="28">
        <v>38840</v>
      </c>
      <c r="BH161" s="28">
        <v>38550</v>
      </c>
      <c r="BI161" s="28">
        <v>37870</v>
      </c>
      <c r="BJ161" s="28">
        <v>37800</v>
      </c>
      <c r="BK161" s="28">
        <v>37630</v>
      </c>
      <c r="BL161" s="28">
        <v>38080</v>
      </c>
    </row>
    <row r="162" spans="1:64" x14ac:dyDescent="0.2">
      <c r="A162" s="28">
        <v>52</v>
      </c>
      <c r="B162" s="80">
        <v>25810</v>
      </c>
      <c r="C162" s="80">
        <v>26450</v>
      </c>
      <c r="D162" s="80">
        <v>27420</v>
      </c>
      <c r="E162" s="80">
        <v>27980</v>
      </c>
      <c r="F162" s="80">
        <v>28050</v>
      </c>
      <c r="G162" s="80">
        <v>29430</v>
      </c>
      <c r="H162" s="80">
        <v>29630</v>
      </c>
      <c r="I162" s="80">
        <v>30570</v>
      </c>
      <c r="J162" s="80">
        <v>31330</v>
      </c>
      <c r="K162" s="80">
        <v>31210</v>
      </c>
      <c r="L162" s="28">
        <v>30950</v>
      </c>
      <c r="M162" s="28">
        <v>30030</v>
      </c>
      <c r="N162" s="28">
        <v>29790</v>
      </c>
      <c r="O162" s="28">
        <v>29620</v>
      </c>
      <c r="P162" s="28">
        <v>30150</v>
      </c>
      <c r="Q162" s="28">
        <v>30600</v>
      </c>
      <c r="R162" s="28">
        <v>30430</v>
      </c>
      <c r="S162" s="28">
        <v>31150</v>
      </c>
      <c r="T162" s="28">
        <v>30930</v>
      </c>
      <c r="U162" s="28">
        <v>29890</v>
      </c>
      <c r="V162" s="28">
        <v>29040</v>
      </c>
      <c r="W162" s="28">
        <v>27960</v>
      </c>
      <c r="X162" s="28">
        <v>27290</v>
      </c>
      <c r="Y162" s="28">
        <v>27240</v>
      </c>
      <c r="Z162" s="28">
        <v>26710</v>
      </c>
      <c r="AA162" s="28">
        <v>27440</v>
      </c>
      <c r="AB162" s="28">
        <v>27960</v>
      </c>
      <c r="AC162" s="28">
        <v>28750</v>
      </c>
      <c r="AD162" s="28">
        <v>29060</v>
      </c>
      <c r="AE162" s="28">
        <v>30220</v>
      </c>
      <c r="AF162" s="28">
        <v>30750</v>
      </c>
      <c r="AG162" s="28">
        <v>31270</v>
      </c>
      <c r="AH162" s="28">
        <v>32640</v>
      </c>
      <c r="AI162" s="28">
        <v>34200</v>
      </c>
      <c r="AJ162" s="28">
        <v>35860</v>
      </c>
      <c r="AK162" s="28">
        <v>37990</v>
      </c>
      <c r="AL162" s="28">
        <v>40320</v>
      </c>
      <c r="AM162" s="28">
        <v>42370</v>
      </c>
      <c r="AN162" s="28">
        <v>42650</v>
      </c>
      <c r="AO162" s="28">
        <v>43060</v>
      </c>
      <c r="AP162" s="28">
        <v>42440</v>
      </c>
      <c r="AQ162" s="28">
        <v>42620</v>
      </c>
      <c r="AR162" s="28">
        <v>42410</v>
      </c>
      <c r="AS162" s="28">
        <v>40770</v>
      </c>
      <c r="AT162" s="28">
        <v>39670</v>
      </c>
      <c r="AU162" s="28">
        <v>38430</v>
      </c>
      <c r="AV162" s="28">
        <v>38580</v>
      </c>
      <c r="AW162" s="28">
        <v>37200</v>
      </c>
      <c r="AX162" s="28">
        <v>35440</v>
      </c>
      <c r="AY162" s="28">
        <v>35480</v>
      </c>
      <c r="AZ162" s="28">
        <v>35970</v>
      </c>
      <c r="BA162" s="28">
        <v>35780</v>
      </c>
      <c r="BB162" s="28">
        <v>36330</v>
      </c>
      <c r="BC162" s="28">
        <v>38000</v>
      </c>
      <c r="BD162" s="28">
        <v>39310</v>
      </c>
      <c r="BE162" s="28">
        <v>39700</v>
      </c>
      <c r="BF162" s="28">
        <v>39900</v>
      </c>
      <c r="BG162" s="28">
        <v>39250</v>
      </c>
      <c r="BH162" s="28">
        <v>38800</v>
      </c>
      <c r="BI162" s="28">
        <v>38510</v>
      </c>
      <c r="BJ162" s="28">
        <v>37830</v>
      </c>
      <c r="BK162" s="28">
        <v>37760</v>
      </c>
      <c r="BL162" s="28">
        <v>37590</v>
      </c>
    </row>
    <row r="163" spans="1:64" x14ac:dyDescent="0.2">
      <c r="A163" s="28">
        <v>53</v>
      </c>
      <c r="B163" s="80">
        <v>25070</v>
      </c>
      <c r="C163" s="80">
        <v>25680</v>
      </c>
      <c r="D163" s="80">
        <v>26270</v>
      </c>
      <c r="E163" s="80">
        <v>27290</v>
      </c>
      <c r="F163" s="80">
        <v>27870</v>
      </c>
      <c r="G163" s="80">
        <v>27840</v>
      </c>
      <c r="H163" s="80">
        <v>29190</v>
      </c>
      <c r="I163" s="80">
        <v>29500</v>
      </c>
      <c r="J163" s="80">
        <v>30530</v>
      </c>
      <c r="K163" s="80">
        <v>31260</v>
      </c>
      <c r="L163" s="28">
        <v>31190</v>
      </c>
      <c r="M163" s="28">
        <v>30950</v>
      </c>
      <c r="N163" s="28">
        <v>30010</v>
      </c>
      <c r="O163" s="28">
        <v>29760</v>
      </c>
      <c r="P163" s="28">
        <v>29570</v>
      </c>
      <c r="Q163" s="28">
        <v>30090</v>
      </c>
      <c r="R163" s="28">
        <v>30510</v>
      </c>
      <c r="S163" s="28">
        <v>30350</v>
      </c>
      <c r="T163" s="28">
        <v>31070</v>
      </c>
      <c r="U163" s="28">
        <v>30850</v>
      </c>
      <c r="V163" s="28">
        <v>29810</v>
      </c>
      <c r="W163" s="28">
        <v>28970</v>
      </c>
      <c r="X163" s="28">
        <v>27890</v>
      </c>
      <c r="Y163" s="28">
        <v>27230</v>
      </c>
      <c r="Z163" s="28">
        <v>27180</v>
      </c>
      <c r="AA163" s="28">
        <v>26640</v>
      </c>
      <c r="AB163" s="28">
        <v>27380</v>
      </c>
      <c r="AC163" s="28">
        <v>27900</v>
      </c>
      <c r="AD163" s="28">
        <v>28690</v>
      </c>
      <c r="AE163" s="28">
        <v>29000</v>
      </c>
      <c r="AF163" s="28">
        <v>30160</v>
      </c>
      <c r="AG163" s="28">
        <v>30690</v>
      </c>
      <c r="AH163" s="28">
        <v>31210</v>
      </c>
      <c r="AI163" s="28">
        <v>32580</v>
      </c>
      <c r="AJ163" s="28">
        <v>34140</v>
      </c>
      <c r="AK163" s="28">
        <v>35800</v>
      </c>
      <c r="AL163" s="28">
        <v>37920</v>
      </c>
      <c r="AM163" s="28">
        <v>40250</v>
      </c>
      <c r="AN163" s="28">
        <v>42310</v>
      </c>
      <c r="AO163" s="28">
        <v>42580</v>
      </c>
      <c r="AP163" s="28">
        <v>42990</v>
      </c>
      <c r="AQ163" s="28">
        <v>42380</v>
      </c>
      <c r="AR163" s="28">
        <v>42550</v>
      </c>
      <c r="AS163" s="28">
        <v>42350</v>
      </c>
      <c r="AT163" s="28">
        <v>40720</v>
      </c>
      <c r="AU163" s="28">
        <v>39610</v>
      </c>
      <c r="AV163" s="28">
        <v>38380</v>
      </c>
      <c r="AW163" s="28">
        <v>38530</v>
      </c>
      <c r="AX163" s="28">
        <v>37150</v>
      </c>
      <c r="AY163" s="28">
        <v>35400</v>
      </c>
      <c r="AZ163" s="28">
        <v>35440</v>
      </c>
      <c r="BA163" s="28">
        <v>35930</v>
      </c>
      <c r="BB163" s="28">
        <v>35740</v>
      </c>
      <c r="BC163" s="28">
        <v>36290</v>
      </c>
      <c r="BD163" s="28">
        <v>37960</v>
      </c>
      <c r="BE163" s="28">
        <v>39270</v>
      </c>
      <c r="BF163" s="28">
        <v>39660</v>
      </c>
      <c r="BG163" s="28">
        <v>39860</v>
      </c>
      <c r="BH163" s="28">
        <v>39210</v>
      </c>
      <c r="BI163" s="28">
        <v>38770</v>
      </c>
      <c r="BJ163" s="28">
        <v>38470</v>
      </c>
      <c r="BK163" s="28">
        <v>37800</v>
      </c>
      <c r="BL163" s="28">
        <v>37730</v>
      </c>
    </row>
    <row r="164" spans="1:64" x14ac:dyDescent="0.2">
      <c r="A164" s="28">
        <v>54</v>
      </c>
      <c r="B164" s="80">
        <v>24750</v>
      </c>
      <c r="C164" s="80">
        <v>24910</v>
      </c>
      <c r="D164" s="80">
        <v>25610</v>
      </c>
      <c r="E164" s="80">
        <v>26170</v>
      </c>
      <c r="F164" s="80">
        <v>27170</v>
      </c>
      <c r="G164" s="80">
        <v>27700</v>
      </c>
      <c r="H164" s="80">
        <v>27670</v>
      </c>
      <c r="I164" s="80">
        <v>29030</v>
      </c>
      <c r="J164" s="80">
        <v>29390</v>
      </c>
      <c r="K164" s="80">
        <v>30500</v>
      </c>
      <c r="L164" s="28">
        <v>31250</v>
      </c>
      <c r="M164" s="28">
        <v>31180</v>
      </c>
      <c r="N164" s="28">
        <v>30920</v>
      </c>
      <c r="O164" s="28">
        <v>29970</v>
      </c>
      <c r="P164" s="28">
        <v>29710</v>
      </c>
      <c r="Q164" s="28">
        <v>29510</v>
      </c>
      <c r="R164" s="28">
        <v>30000</v>
      </c>
      <c r="S164" s="28">
        <v>30430</v>
      </c>
      <c r="T164" s="28">
        <v>30270</v>
      </c>
      <c r="U164" s="28">
        <v>30990</v>
      </c>
      <c r="V164" s="28">
        <v>30780</v>
      </c>
      <c r="W164" s="28">
        <v>29740</v>
      </c>
      <c r="X164" s="28">
        <v>28900</v>
      </c>
      <c r="Y164" s="28">
        <v>27830</v>
      </c>
      <c r="Z164" s="28">
        <v>27170</v>
      </c>
      <c r="AA164" s="28">
        <v>27120</v>
      </c>
      <c r="AB164" s="28">
        <v>26590</v>
      </c>
      <c r="AC164" s="28">
        <v>27320</v>
      </c>
      <c r="AD164" s="28">
        <v>27840</v>
      </c>
      <c r="AE164" s="28">
        <v>28630</v>
      </c>
      <c r="AF164" s="28">
        <v>28950</v>
      </c>
      <c r="AG164" s="28">
        <v>30110</v>
      </c>
      <c r="AH164" s="28">
        <v>30640</v>
      </c>
      <c r="AI164" s="28">
        <v>31160</v>
      </c>
      <c r="AJ164" s="28">
        <v>32530</v>
      </c>
      <c r="AK164" s="28">
        <v>34080</v>
      </c>
      <c r="AL164" s="28">
        <v>35740</v>
      </c>
      <c r="AM164" s="28">
        <v>37860</v>
      </c>
      <c r="AN164" s="28">
        <v>40190</v>
      </c>
      <c r="AO164" s="28">
        <v>42240</v>
      </c>
      <c r="AP164" s="28">
        <v>42520</v>
      </c>
      <c r="AQ164" s="28">
        <v>42930</v>
      </c>
      <c r="AR164" s="28">
        <v>42320</v>
      </c>
      <c r="AS164" s="28">
        <v>42500</v>
      </c>
      <c r="AT164" s="28">
        <v>42290</v>
      </c>
      <c r="AU164" s="28">
        <v>40670</v>
      </c>
      <c r="AV164" s="28">
        <v>39560</v>
      </c>
      <c r="AW164" s="28">
        <v>38340</v>
      </c>
      <c r="AX164" s="28">
        <v>38490</v>
      </c>
      <c r="AY164" s="28">
        <v>37110</v>
      </c>
      <c r="AZ164" s="28">
        <v>35360</v>
      </c>
      <c r="BA164" s="28">
        <v>35400</v>
      </c>
      <c r="BB164" s="28">
        <v>35890</v>
      </c>
      <c r="BC164" s="28">
        <v>35710</v>
      </c>
      <c r="BD164" s="28">
        <v>36260</v>
      </c>
      <c r="BE164" s="28">
        <v>37920</v>
      </c>
      <c r="BF164" s="28">
        <v>39230</v>
      </c>
      <c r="BG164" s="28">
        <v>39620</v>
      </c>
      <c r="BH164" s="28">
        <v>39820</v>
      </c>
      <c r="BI164" s="28">
        <v>39180</v>
      </c>
      <c r="BJ164" s="28">
        <v>38740</v>
      </c>
      <c r="BK164" s="28">
        <v>38440</v>
      </c>
      <c r="BL164" s="28">
        <v>37770</v>
      </c>
    </row>
    <row r="165" spans="1:64" x14ac:dyDescent="0.2">
      <c r="A165" s="28">
        <v>55</v>
      </c>
      <c r="B165" s="80">
        <v>24160</v>
      </c>
      <c r="C165" s="80">
        <v>24590</v>
      </c>
      <c r="D165" s="80">
        <v>24710</v>
      </c>
      <c r="E165" s="80">
        <v>25530</v>
      </c>
      <c r="F165" s="80">
        <v>26030</v>
      </c>
      <c r="G165" s="80">
        <v>26960</v>
      </c>
      <c r="H165" s="80">
        <v>27520</v>
      </c>
      <c r="I165" s="80">
        <v>27530</v>
      </c>
      <c r="J165" s="80">
        <v>28930</v>
      </c>
      <c r="K165" s="80">
        <v>29390</v>
      </c>
      <c r="L165" s="28">
        <v>30420</v>
      </c>
      <c r="M165" s="28">
        <v>31230</v>
      </c>
      <c r="N165" s="28">
        <v>31140</v>
      </c>
      <c r="O165" s="28">
        <v>30880</v>
      </c>
      <c r="P165" s="28">
        <v>29920</v>
      </c>
      <c r="Q165" s="28">
        <v>29640</v>
      </c>
      <c r="R165" s="28">
        <v>29430</v>
      </c>
      <c r="S165" s="28">
        <v>29920</v>
      </c>
      <c r="T165" s="28">
        <v>30350</v>
      </c>
      <c r="U165" s="28">
        <v>30190</v>
      </c>
      <c r="V165" s="28">
        <v>30910</v>
      </c>
      <c r="W165" s="28">
        <v>30700</v>
      </c>
      <c r="X165" s="28">
        <v>29670</v>
      </c>
      <c r="Y165" s="28">
        <v>28840</v>
      </c>
      <c r="Z165" s="28">
        <v>27770</v>
      </c>
      <c r="AA165" s="28">
        <v>27110</v>
      </c>
      <c r="AB165" s="28">
        <v>27070</v>
      </c>
      <c r="AC165" s="28">
        <v>26540</v>
      </c>
      <c r="AD165" s="28">
        <v>27270</v>
      </c>
      <c r="AE165" s="28">
        <v>27790</v>
      </c>
      <c r="AF165" s="28">
        <v>28580</v>
      </c>
      <c r="AG165" s="28">
        <v>28900</v>
      </c>
      <c r="AH165" s="28">
        <v>30060</v>
      </c>
      <c r="AI165" s="28">
        <v>30590</v>
      </c>
      <c r="AJ165" s="28">
        <v>31110</v>
      </c>
      <c r="AK165" s="28">
        <v>32480</v>
      </c>
      <c r="AL165" s="28">
        <v>34030</v>
      </c>
      <c r="AM165" s="28">
        <v>35690</v>
      </c>
      <c r="AN165" s="28">
        <v>37810</v>
      </c>
      <c r="AO165" s="28">
        <v>40140</v>
      </c>
      <c r="AP165" s="28">
        <v>42190</v>
      </c>
      <c r="AQ165" s="28">
        <v>42460</v>
      </c>
      <c r="AR165" s="28">
        <v>42880</v>
      </c>
      <c r="AS165" s="28">
        <v>42270</v>
      </c>
      <c r="AT165" s="28">
        <v>42450</v>
      </c>
      <c r="AU165" s="28">
        <v>42240</v>
      </c>
      <c r="AV165" s="28">
        <v>40620</v>
      </c>
      <c r="AW165" s="28">
        <v>39520</v>
      </c>
      <c r="AX165" s="28">
        <v>38300</v>
      </c>
      <c r="AY165" s="28">
        <v>38450</v>
      </c>
      <c r="AZ165" s="28">
        <v>37070</v>
      </c>
      <c r="BA165" s="28">
        <v>35330</v>
      </c>
      <c r="BB165" s="28">
        <v>35370</v>
      </c>
      <c r="BC165" s="28">
        <v>35860</v>
      </c>
      <c r="BD165" s="28">
        <v>35680</v>
      </c>
      <c r="BE165" s="28">
        <v>36230</v>
      </c>
      <c r="BF165" s="28">
        <v>37900</v>
      </c>
      <c r="BG165" s="28">
        <v>39200</v>
      </c>
      <c r="BH165" s="28">
        <v>39590</v>
      </c>
      <c r="BI165" s="28">
        <v>39800</v>
      </c>
      <c r="BJ165" s="28">
        <v>39160</v>
      </c>
      <c r="BK165" s="28">
        <v>38710</v>
      </c>
      <c r="BL165" s="28">
        <v>38420</v>
      </c>
    </row>
    <row r="166" spans="1:64" x14ac:dyDescent="0.2">
      <c r="A166" s="28">
        <v>56</v>
      </c>
      <c r="B166" s="80">
        <v>24180</v>
      </c>
      <c r="C166" s="80">
        <v>24100</v>
      </c>
      <c r="D166" s="80">
        <v>24450</v>
      </c>
      <c r="E166" s="80">
        <v>24570</v>
      </c>
      <c r="F166" s="80">
        <v>25410</v>
      </c>
      <c r="G166" s="80">
        <v>25870</v>
      </c>
      <c r="H166" s="80">
        <v>26760</v>
      </c>
      <c r="I166" s="80">
        <v>27380</v>
      </c>
      <c r="J166" s="80">
        <v>27440</v>
      </c>
      <c r="K166" s="80">
        <v>28860</v>
      </c>
      <c r="L166" s="28">
        <v>29390</v>
      </c>
      <c r="M166" s="28">
        <v>30390</v>
      </c>
      <c r="N166" s="28">
        <v>31190</v>
      </c>
      <c r="O166" s="28">
        <v>31090</v>
      </c>
      <c r="P166" s="28">
        <v>30820</v>
      </c>
      <c r="Q166" s="28">
        <v>29850</v>
      </c>
      <c r="R166" s="28">
        <v>29560</v>
      </c>
      <c r="S166" s="28">
        <v>29350</v>
      </c>
      <c r="T166" s="28">
        <v>29850</v>
      </c>
      <c r="U166" s="28">
        <v>30270</v>
      </c>
      <c r="V166" s="28">
        <v>30120</v>
      </c>
      <c r="W166" s="28">
        <v>30840</v>
      </c>
      <c r="X166" s="28">
        <v>30640</v>
      </c>
      <c r="Y166" s="28">
        <v>29610</v>
      </c>
      <c r="Z166" s="28">
        <v>28780</v>
      </c>
      <c r="AA166" s="28">
        <v>27720</v>
      </c>
      <c r="AB166" s="28">
        <v>27060</v>
      </c>
      <c r="AC166" s="28">
        <v>27020</v>
      </c>
      <c r="AD166" s="28">
        <v>26500</v>
      </c>
      <c r="AE166" s="28">
        <v>27230</v>
      </c>
      <c r="AF166" s="28">
        <v>27750</v>
      </c>
      <c r="AG166" s="28">
        <v>28540</v>
      </c>
      <c r="AH166" s="28">
        <v>28860</v>
      </c>
      <c r="AI166" s="28">
        <v>30010</v>
      </c>
      <c r="AJ166" s="28">
        <v>30550</v>
      </c>
      <c r="AK166" s="28">
        <v>31070</v>
      </c>
      <c r="AL166" s="28">
        <v>32440</v>
      </c>
      <c r="AM166" s="28">
        <v>33990</v>
      </c>
      <c r="AN166" s="28">
        <v>35650</v>
      </c>
      <c r="AO166" s="28">
        <v>37760</v>
      </c>
      <c r="AP166" s="28">
        <v>40090</v>
      </c>
      <c r="AQ166" s="28">
        <v>42130</v>
      </c>
      <c r="AR166" s="28">
        <v>42410</v>
      </c>
      <c r="AS166" s="28">
        <v>42830</v>
      </c>
      <c r="AT166" s="28">
        <v>42220</v>
      </c>
      <c r="AU166" s="28">
        <v>42400</v>
      </c>
      <c r="AV166" s="28">
        <v>42200</v>
      </c>
      <c r="AW166" s="28">
        <v>40580</v>
      </c>
      <c r="AX166" s="28">
        <v>39490</v>
      </c>
      <c r="AY166" s="28">
        <v>38270</v>
      </c>
      <c r="AZ166" s="28">
        <v>38420</v>
      </c>
      <c r="BA166" s="28">
        <v>37050</v>
      </c>
      <c r="BB166" s="28">
        <v>35310</v>
      </c>
      <c r="BC166" s="28">
        <v>35350</v>
      </c>
      <c r="BD166" s="28">
        <v>35840</v>
      </c>
      <c r="BE166" s="28">
        <v>35660</v>
      </c>
      <c r="BF166" s="28">
        <v>36210</v>
      </c>
      <c r="BG166" s="28">
        <v>37880</v>
      </c>
      <c r="BH166" s="28">
        <v>39180</v>
      </c>
      <c r="BI166" s="28">
        <v>39580</v>
      </c>
      <c r="BJ166" s="28">
        <v>39780</v>
      </c>
      <c r="BK166" s="28">
        <v>39140</v>
      </c>
      <c r="BL166" s="28">
        <v>38700</v>
      </c>
    </row>
    <row r="167" spans="1:64" x14ac:dyDescent="0.2">
      <c r="A167" s="28">
        <v>57</v>
      </c>
      <c r="B167" s="80">
        <v>23830</v>
      </c>
      <c r="C167" s="80">
        <v>24030</v>
      </c>
      <c r="D167" s="80">
        <v>23970</v>
      </c>
      <c r="E167" s="80">
        <v>24310</v>
      </c>
      <c r="F167" s="80">
        <v>24480</v>
      </c>
      <c r="G167" s="80">
        <v>25290</v>
      </c>
      <c r="H167" s="80">
        <v>25730</v>
      </c>
      <c r="I167" s="80">
        <v>26620</v>
      </c>
      <c r="J167" s="80">
        <v>27360</v>
      </c>
      <c r="K167" s="80">
        <v>27380</v>
      </c>
      <c r="L167" s="28">
        <v>28850</v>
      </c>
      <c r="M167" s="28">
        <v>29360</v>
      </c>
      <c r="N167" s="28">
        <v>30350</v>
      </c>
      <c r="O167" s="28">
        <v>31140</v>
      </c>
      <c r="P167" s="28">
        <v>31030</v>
      </c>
      <c r="Q167" s="28">
        <v>30740</v>
      </c>
      <c r="R167" s="28">
        <v>29770</v>
      </c>
      <c r="S167" s="28">
        <v>29480</v>
      </c>
      <c r="T167" s="28">
        <v>29280</v>
      </c>
      <c r="U167" s="28">
        <v>29780</v>
      </c>
      <c r="V167" s="28">
        <v>30200</v>
      </c>
      <c r="W167" s="28">
        <v>30060</v>
      </c>
      <c r="X167" s="28">
        <v>30780</v>
      </c>
      <c r="Y167" s="28">
        <v>30570</v>
      </c>
      <c r="Z167" s="28">
        <v>29550</v>
      </c>
      <c r="AA167" s="28">
        <v>28730</v>
      </c>
      <c r="AB167" s="28">
        <v>27670</v>
      </c>
      <c r="AC167" s="28">
        <v>27020</v>
      </c>
      <c r="AD167" s="28">
        <v>26980</v>
      </c>
      <c r="AE167" s="28">
        <v>26460</v>
      </c>
      <c r="AF167" s="28">
        <v>27190</v>
      </c>
      <c r="AG167" s="28">
        <v>27710</v>
      </c>
      <c r="AH167" s="28">
        <v>28510</v>
      </c>
      <c r="AI167" s="28">
        <v>28820</v>
      </c>
      <c r="AJ167" s="28">
        <v>29980</v>
      </c>
      <c r="AK167" s="28">
        <v>30510</v>
      </c>
      <c r="AL167" s="28">
        <v>31040</v>
      </c>
      <c r="AM167" s="28">
        <v>32400</v>
      </c>
      <c r="AN167" s="28">
        <v>33950</v>
      </c>
      <c r="AO167" s="28">
        <v>35610</v>
      </c>
      <c r="AP167" s="28">
        <v>37720</v>
      </c>
      <c r="AQ167" s="28">
        <v>40050</v>
      </c>
      <c r="AR167" s="28">
        <v>42090</v>
      </c>
      <c r="AS167" s="28">
        <v>42370</v>
      </c>
      <c r="AT167" s="28">
        <v>42790</v>
      </c>
      <c r="AU167" s="28">
        <v>42180</v>
      </c>
      <c r="AV167" s="28">
        <v>42370</v>
      </c>
      <c r="AW167" s="28">
        <v>42170</v>
      </c>
      <c r="AX167" s="28">
        <v>40550</v>
      </c>
      <c r="AY167" s="28">
        <v>39460</v>
      </c>
      <c r="AZ167" s="28">
        <v>38240</v>
      </c>
      <c r="BA167" s="28">
        <v>38400</v>
      </c>
      <c r="BB167" s="28">
        <v>37030</v>
      </c>
      <c r="BC167" s="28">
        <v>35290</v>
      </c>
      <c r="BD167" s="28">
        <v>35330</v>
      </c>
      <c r="BE167" s="28">
        <v>35830</v>
      </c>
      <c r="BF167" s="28">
        <v>35650</v>
      </c>
      <c r="BG167" s="28">
        <v>36200</v>
      </c>
      <c r="BH167" s="28">
        <v>37860</v>
      </c>
      <c r="BI167" s="28">
        <v>39170</v>
      </c>
      <c r="BJ167" s="28">
        <v>39560</v>
      </c>
      <c r="BK167" s="28">
        <v>39770</v>
      </c>
      <c r="BL167" s="28">
        <v>39130</v>
      </c>
    </row>
    <row r="168" spans="1:64" x14ac:dyDescent="0.2">
      <c r="A168" s="28">
        <v>58</v>
      </c>
      <c r="B168" s="80">
        <v>23890</v>
      </c>
      <c r="C168" s="80">
        <v>23710</v>
      </c>
      <c r="D168" s="80">
        <v>23900</v>
      </c>
      <c r="E168" s="80">
        <v>23870</v>
      </c>
      <c r="F168" s="80">
        <v>24240</v>
      </c>
      <c r="G168" s="80">
        <v>24350</v>
      </c>
      <c r="H168" s="80">
        <v>25160</v>
      </c>
      <c r="I168" s="80">
        <v>25610</v>
      </c>
      <c r="J168" s="80">
        <v>26570</v>
      </c>
      <c r="K168" s="80">
        <v>27280</v>
      </c>
      <c r="L168" s="28">
        <v>27310</v>
      </c>
      <c r="M168" s="28">
        <v>28830</v>
      </c>
      <c r="N168" s="28">
        <v>29340</v>
      </c>
      <c r="O168" s="28">
        <v>30310</v>
      </c>
      <c r="P168" s="28">
        <v>31080</v>
      </c>
      <c r="Q168" s="28">
        <v>30960</v>
      </c>
      <c r="R168" s="28">
        <v>30670</v>
      </c>
      <c r="S168" s="28">
        <v>29700</v>
      </c>
      <c r="T168" s="28">
        <v>29420</v>
      </c>
      <c r="U168" s="28">
        <v>29220</v>
      </c>
      <c r="V168" s="28">
        <v>29710</v>
      </c>
      <c r="W168" s="28">
        <v>30140</v>
      </c>
      <c r="X168" s="28">
        <v>30000</v>
      </c>
      <c r="Y168" s="28">
        <v>30720</v>
      </c>
      <c r="Z168" s="28">
        <v>30520</v>
      </c>
      <c r="AA168" s="28">
        <v>29510</v>
      </c>
      <c r="AB168" s="28">
        <v>28690</v>
      </c>
      <c r="AC168" s="28">
        <v>27630</v>
      </c>
      <c r="AD168" s="28">
        <v>26990</v>
      </c>
      <c r="AE168" s="28">
        <v>26950</v>
      </c>
      <c r="AF168" s="28">
        <v>26430</v>
      </c>
      <c r="AG168" s="28">
        <v>27170</v>
      </c>
      <c r="AH168" s="28">
        <v>27690</v>
      </c>
      <c r="AI168" s="28">
        <v>28480</v>
      </c>
      <c r="AJ168" s="28">
        <v>28800</v>
      </c>
      <c r="AK168" s="28">
        <v>29950</v>
      </c>
      <c r="AL168" s="28">
        <v>30490</v>
      </c>
      <c r="AM168" s="28">
        <v>31010</v>
      </c>
      <c r="AN168" s="28">
        <v>32380</v>
      </c>
      <c r="AO168" s="28">
        <v>33920</v>
      </c>
      <c r="AP168" s="28">
        <v>35580</v>
      </c>
      <c r="AQ168" s="28">
        <v>37690</v>
      </c>
      <c r="AR168" s="28">
        <v>40010</v>
      </c>
      <c r="AS168" s="28">
        <v>42060</v>
      </c>
      <c r="AT168" s="28">
        <v>42340</v>
      </c>
      <c r="AU168" s="28">
        <v>42760</v>
      </c>
      <c r="AV168" s="28">
        <v>42160</v>
      </c>
      <c r="AW168" s="28">
        <v>42340</v>
      </c>
      <c r="AX168" s="28">
        <v>42150</v>
      </c>
      <c r="AY168" s="28">
        <v>40540</v>
      </c>
      <c r="AZ168" s="28">
        <v>39450</v>
      </c>
      <c r="BA168" s="28">
        <v>38230</v>
      </c>
      <c r="BB168" s="28">
        <v>38390</v>
      </c>
      <c r="BC168" s="28">
        <v>37020</v>
      </c>
      <c r="BD168" s="28">
        <v>35290</v>
      </c>
      <c r="BE168" s="28">
        <v>35330</v>
      </c>
      <c r="BF168" s="28">
        <v>35830</v>
      </c>
      <c r="BG168" s="28">
        <v>35650</v>
      </c>
      <c r="BH168" s="28">
        <v>36200</v>
      </c>
      <c r="BI168" s="28">
        <v>37870</v>
      </c>
      <c r="BJ168" s="28">
        <v>39170</v>
      </c>
      <c r="BK168" s="28">
        <v>39570</v>
      </c>
      <c r="BL168" s="28">
        <v>39770</v>
      </c>
    </row>
    <row r="169" spans="1:64" x14ac:dyDescent="0.2">
      <c r="A169" s="28">
        <v>59</v>
      </c>
      <c r="B169" s="80">
        <v>24020</v>
      </c>
      <c r="C169" s="80">
        <v>23810</v>
      </c>
      <c r="D169" s="80">
        <v>23610</v>
      </c>
      <c r="E169" s="80">
        <v>23740</v>
      </c>
      <c r="F169" s="80">
        <v>23780</v>
      </c>
      <c r="G169" s="80">
        <v>24060</v>
      </c>
      <c r="H169" s="80">
        <v>24210</v>
      </c>
      <c r="I169" s="80">
        <v>25030</v>
      </c>
      <c r="J169" s="80">
        <v>25550</v>
      </c>
      <c r="K169" s="80">
        <v>26530</v>
      </c>
      <c r="L169" s="28">
        <v>27290</v>
      </c>
      <c r="M169" s="28">
        <v>27310</v>
      </c>
      <c r="N169" s="28">
        <v>28810</v>
      </c>
      <c r="O169" s="28">
        <v>29300</v>
      </c>
      <c r="P169" s="28">
        <v>30260</v>
      </c>
      <c r="Q169" s="28">
        <v>31020</v>
      </c>
      <c r="R169" s="28">
        <v>30890</v>
      </c>
      <c r="S169" s="28">
        <v>30600</v>
      </c>
      <c r="T169" s="28">
        <v>29630</v>
      </c>
      <c r="U169" s="28">
        <v>29360</v>
      </c>
      <c r="V169" s="28">
        <v>29160</v>
      </c>
      <c r="W169" s="28">
        <v>29660</v>
      </c>
      <c r="X169" s="28">
        <v>30090</v>
      </c>
      <c r="Y169" s="28">
        <v>29950</v>
      </c>
      <c r="Z169" s="28">
        <v>30670</v>
      </c>
      <c r="AA169" s="28">
        <v>30480</v>
      </c>
      <c r="AB169" s="28">
        <v>29470</v>
      </c>
      <c r="AC169" s="28">
        <v>28660</v>
      </c>
      <c r="AD169" s="28">
        <v>27610</v>
      </c>
      <c r="AE169" s="28">
        <v>26970</v>
      </c>
      <c r="AF169" s="28">
        <v>26930</v>
      </c>
      <c r="AG169" s="28">
        <v>26420</v>
      </c>
      <c r="AH169" s="28">
        <v>27150</v>
      </c>
      <c r="AI169" s="28">
        <v>27670</v>
      </c>
      <c r="AJ169" s="28">
        <v>28470</v>
      </c>
      <c r="AK169" s="28">
        <v>28780</v>
      </c>
      <c r="AL169" s="28">
        <v>29940</v>
      </c>
      <c r="AM169" s="28">
        <v>30470</v>
      </c>
      <c r="AN169" s="28">
        <v>31000</v>
      </c>
      <c r="AO169" s="28">
        <v>32360</v>
      </c>
      <c r="AP169" s="28">
        <v>33910</v>
      </c>
      <c r="AQ169" s="28">
        <v>35570</v>
      </c>
      <c r="AR169" s="28">
        <v>37670</v>
      </c>
      <c r="AS169" s="28">
        <v>39990</v>
      </c>
      <c r="AT169" s="28">
        <v>42040</v>
      </c>
      <c r="AU169" s="28">
        <v>42320</v>
      </c>
      <c r="AV169" s="28">
        <v>42740</v>
      </c>
      <c r="AW169" s="28">
        <v>42140</v>
      </c>
      <c r="AX169" s="28">
        <v>42330</v>
      </c>
      <c r="AY169" s="28">
        <v>42130</v>
      </c>
      <c r="AZ169" s="28">
        <v>40530</v>
      </c>
      <c r="BA169" s="28">
        <v>39440</v>
      </c>
      <c r="BB169" s="28">
        <v>38230</v>
      </c>
      <c r="BC169" s="28">
        <v>38390</v>
      </c>
      <c r="BD169" s="28">
        <v>37030</v>
      </c>
      <c r="BE169" s="28">
        <v>35300</v>
      </c>
      <c r="BF169" s="28">
        <v>35340</v>
      </c>
      <c r="BG169" s="28">
        <v>35840</v>
      </c>
      <c r="BH169" s="28">
        <v>35660</v>
      </c>
      <c r="BI169" s="28">
        <v>36220</v>
      </c>
      <c r="BJ169" s="28">
        <v>37880</v>
      </c>
      <c r="BK169" s="28">
        <v>39190</v>
      </c>
      <c r="BL169" s="28">
        <v>39580</v>
      </c>
    </row>
    <row r="170" spans="1:64" x14ac:dyDescent="0.2">
      <c r="A170" s="28">
        <v>60</v>
      </c>
      <c r="B170" s="80">
        <v>20160</v>
      </c>
      <c r="C170" s="80">
        <v>23860</v>
      </c>
      <c r="D170" s="80">
        <v>23690</v>
      </c>
      <c r="E170" s="80">
        <v>23510</v>
      </c>
      <c r="F170" s="80">
        <v>23680</v>
      </c>
      <c r="G170" s="80">
        <v>23700</v>
      </c>
      <c r="H170" s="80">
        <v>23950</v>
      </c>
      <c r="I170" s="80">
        <v>24120</v>
      </c>
      <c r="J170" s="80">
        <v>24970</v>
      </c>
      <c r="K170" s="80">
        <v>25550</v>
      </c>
      <c r="L170" s="28">
        <v>26530</v>
      </c>
      <c r="M170" s="28">
        <v>27290</v>
      </c>
      <c r="N170" s="28">
        <v>27300</v>
      </c>
      <c r="O170" s="28">
        <v>28780</v>
      </c>
      <c r="P170" s="28">
        <v>29260</v>
      </c>
      <c r="Q170" s="28">
        <v>30200</v>
      </c>
      <c r="R170" s="28">
        <v>30940</v>
      </c>
      <c r="S170" s="28">
        <v>30820</v>
      </c>
      <c r="T170" s="28">
        <v>30530</v>
      </c>
      <c r="U170" s="28">
        <v>29580</v>
      </c>
      <c r="V170" s="28">
        <v>29310</v>
      </c>
      <c r="W170" s="28">
        <v>29110</v>
      </c>
      <c r="X170" s="28">
        <v>29620</v>
      </c>
      <c r="Y170" s="28">
        <v>30050</v>
      </c>
      <c r="Z170" s="28">
        <v>29910</v>
      </c>
      <c r="AA170" s="28">
        <v>30630</v>
      </c>
      <c r="AB170" s="28">
        <v>30440</v>
      </c>
      <c r="AC170" s="28">
        <v>29440</v>
      </c>
      <c r="AD170" s="28">
        <v>28630</v>
      </c>
      <c r="AE170" s="28">
        <v>27590</v>
      </c>
      <c r="AF170" s="28">
        <v>26950</v>
      </c>
      <c r="AG170" s="28">
        <v>26920</v>
      </c>
      <c r="AH170" s="28">
        <v>26410</v>
      </c>
      <c r="AI170" s="28">
        <v>27150</v>
      </c>
      <c r="AJ170" s="28">
        <v>27670</v>
      </c>
      <c r="AK170" s="28">
        <v>28460</v>
      </c>
      <c r="AL170" s="28">
        <v>28780</v>
      </c>
      <c r="AM170" s="28">
        <v>29930</v>
      </c>
      <c r="AN170" s="28">
        <v>30470</v>
      </c>
      <c r="AO170" s="28">
        <v>31000</v>
      </c>
      <c r="AP170" s="28">
        <v>32360</v>
      </c>
      <c r="AQ170" s="28">
        <v>33900</v>
      </c>
      <c r="AR170" s="28">
        <v>35560</v>
      </c>
      <c r="AS170" s="28">
        <v>37660</v>
      </c>
      <c r="AT170" s="28">
        <v>39980</v>
      </c>
      <c r="AU170" s="28">
        <v>42020</v>
      </c>
      <c r="AV170" s="28">
        <v>42310</v>
      </c>
      <c r="AW170" s="28">
        <v>42730</v>
      </c>
      <c r="AX170" s="28">
        <v>42130</v>
      </c>
      <c r="AY170" s="28">
        <v>42320</v>
      </c>
      <c r="AZ170" s="28">
        <v>42130</v>
      </c>
      <c r="BA170" s="28">
        <v>40530</v>
      </c>
      <c r="BB170" s="28">
        <v>39450</v>
      </c>
      <c r="BC170" s="28">
        <v>38240</v>
      </c>
      <c r="BD170" s="28">
        <v>38400</v>
      </c>
      <c r="BE170" s="28">
        <v>37040</v>
      </c>
      <c r="BF170" s="28">
        <v>35320</v>
      </c>
      <c r="BG170" s="28">
        <v>35360</v>
      </c>
      <c r="BH170" s="28">
        <v>35860</v>
      </c>
      <c r="BI170" s="28">
        <v>35690</v>
      </c>
      <c r="BJ170" s="28">
        <v>36240</v>
      </c>
      <c r="BK170" s="28">
        <v>37900</v>
      </c>
      <c r="BL170" s="28">
        <v>39210</v>
      </c>
    </row>
    <row r="171" spans="1:64" x14ac:dyDescent="0.2">
      <c r="A171" s="28">
        <v>61</v>
      </c>
      <c r="B171" s="80">
        <v>19140</v>
      </c>
      <c r="C171" s="80">
        <v>20030</v>
      </c>
      <c r="D171" s="80">
        <v>23700</v>
      </c>
      <c r="E171" s="80">
        <v>23550</v>
      </c>
      <c r="F171" s="80">
        <v>23420</v>
      </c>
      <c r="G171" s="80">
        <v>23540</v>
      </c>
      <c r="H171" s="80">
        <v>23580</v>
      </c>
      <c r="I171" s="80">
        <v>23850</v>
      </c>
      <c r="J171" s="80">
        <v>24090</v>
      </c>
      <c r="K171" s="80">
        <v>24940</v>
      </c>
      <c r="L171" s="28">
        <v>25570</v>
      </c>
      <c r="M171" s="28">
        <v>26530</v>
      </c>
      <c r="N171" s="28">
        <v>27280</v>
      </c>
      <c r="O171" s="28">
        <v>27280</v>
      </c>
      <c r="P171" s="28">
        <v>28740</v>
      </c>
      <c r="Q171" s="28">
        <v>29200</v>
      </c>
      <c r="R171" s="28">
        <v>30130</v>
      </c>
      <c r="S171" s="28">
        <v>30870</v>
      </c>
      <c r="T171" s="28">
        <v>30750</v>
      </c>
      <c r="U171" s="28">
        <v>30470</v>
      </c>
      <c r="V171" s="28">
        <v>29520</v>
      </c>
      <c r="W171" s="28">
        <v>29260</v>
      </c>
      <c r="X171" s="28">
        <v>29070</v>
      </c>
      <c r="Y171" s="28">
        <v>29570</v>
      </c>
      <c r="Z171" s="28">
        <v>30010</v>
      </c>
      <c r="AA171" s="28">
        <v>29880</v>
      </c>
      <c r="AB171" s="28">
        <v>30600</v>
      </c>
      <c r="AC171" s="28">
        <v>30410</v>
      </c>
      <c r="AD171" s="28">
        <v>29410</v>
      </c>
      <c r="AE171" s="28">
        <v>28610</v>
      </c>
      <c r="AF171" s="28">
        <v>27580</v>
      </c>
      <c r="AG171" s="28">
        <v>26940</v>
      </c>
      <c r="AH171" s="28">
        <v>26920</v>
      </c>
      <c r="AI171" s="28">
        <v>26410</v>
      </c>
      <c r="AJ171" s="28">
        <v>27140</v>
      </c>
      <c r="AK171" s="28">
        <v>27670</v>
      </c>
      <c r="AL171" s="28">
        <v>28460</v>
      </c>
      <c r="AM171" s="28">
        <v>28780</v>
      </c>
      <c r="AN171" s="28">
        <v>29930</v>
      </c>
      <c r="AO171" s="28">
        <v>30470</v>
      </c>
      <c r="AP171" s="28">
        <v>31000</v>
      </c>
      <c r="AQ171" s="28">
        <v>32360</v>
      </c>
      <c r="AR171" s="28">
        <v>33900</v>
      </c>
      <c r="AS171" s="28">
        <v>35560</v>
      </c>
      <c r="AT171" s="28">
        <v>37660</v>
      </c>
      <c r="AU171" s="28">
        <v>39980</v>
      </c>
      <c r="AV171" s="28">
        <v>42010</v>
      </c>
      <c r="AW171" s="28">
        <v>42300</v>
      </c>
      <c r="AX171" s="28">
        <v>42720</v>
      </c>
      <c r="AY171" s="28">
        <v>42130</v>
      </c>
      <c r="AZ171" s="28">
        <v>42320</v>
      </c>
      <c r="BA171" s="28">
        <v>42140</v>
      </c>
      <c r="BB171" s="28">
        <v>40540</v>
      </c>
      <c r="BC171" s="28">
        <v>39460</v>
      </c>
      <c r="BD171" s="28">
        <v>38260</v>
      </c>
      <c r="BE171" s="28">
        <v>38420</v>
      </c>
      <c r="BF171" s="28">
        <v>37070</v>
      </c>
      <c r="BG171" s="28">
        <v>35350</v>
      </c>
      <c r="BH171" s="28">
        <v>35390</v>
      </c>
      <c r="BI171" s="28">
        <v>35890</v>
      </c>
      <c r="BJ171" s="28">
        <v>35720</v>
      </c>
      <c r="BK171" s="28">
        <v>36270</v>
      </c>
      <c r="BL171" s="28">
        <v>37930</v>
      </c>
    </row>
    <row r="172" spans="1:64" x14ac:dyDescent="0.2">
      <c r="A172" s="28">
        <v>62</v>
      </c>
      <c r="B172" s="80">
        <v>18400</v>
      </c>
      <c r="C172" s="80">
        <v>19020</v>
      </c>
      <c r="D172" s="80">
        <v>19890</v>
      </c>
      <c r="E172" s="80">
        <v>23560</v>
      </c>
      <c r="F172" s="80">
        <v>23450</v>
      </c>
      <c r="G172" s="80">
        <v>23330</v>
      </c>
      <c r="H172" s="80">
        <v>23410</v>
      </c>
      <c r="I172" s="80">
        <v>23520</v>
      </c>
      <c r="J172" s="80">
        <v>23790</v>
      </c>
      <c r="K172" s="80">
        <v>24050</v>
      </c>
      <c r="L172" s="28">
        <v>24890</v>
      </c>
      <c r="M172" s="28">
        <v>25570</v>
      </c>
      <c r="N172" s="28">
        <v>26520</v>
      </c>
      <c r="O172" s="28">
        <v>27250</v>
      </c>
      <c r="P172" s="28">
        <v>27240</v>
      </c>
      <c r="Q172" s="28">
        <v>28680</v>
      </c>
      <c r="R172" s="28">
        <v>29130</v>
      </c>
      <c r="S172" s="28">
        <v>30050</v>
      </c>
      <c r="T172" s="28">
        <v>30800</v>
      </c>
      <c r="U172" s="28">
        <v>30680</v>
      </c>
      <c r="V172" s="28">
        <v>30400</v>
      </c>
      <c r="W172" s="28">
        <v>29470</v>
      </c>
      <c r="X172" s="28">
        <v>29210</v>
      </c>
      <c r="Y172" s="28">
        <v>29020</v>
      </c>
      <c r="Z172" s="28">
        <v>29530</v>
      </c>
      <c r="AA172" s="28">
        <v>29970</v>
      </c>
      <c r="AB172" s="28">
        <v>29840</v>
      </c>
      <c r="AC172" s="28">
        <v>30560</v>
      </c>
      <c r="AD172" s="28">
        <v>30380</v>
      </c>
      <c r="AE172" s="28">
        <v>29390</v>
      </c>
      <c r="AF172" s="28">
        <v>28590</v>
      </c>
      <c r="AG172" s="28">
        <v>27570</v>
      </c>
      <c r="AH172" s="28">
        <v>26940</v>
      </c>
      <c r="AI172" s="28">
        <v>26910</v>
      </c>
      <c r="AJ172" s="28">
        <v>26410</v>
      </c>
      <c r="AK172" s="28">
        <v>27140</v>
      </c>
      <c r="AL172" s="28">
        <v>27670</v>
      </c>
      <c r="AM172" s="28">
        <v>28460</v>
      </c>
      <c r="AN172" s="28">
        <v>28780</v>
      </c>
      <c r="AO172" s="28">
        <v>29940</v>
      </c>
      <c r="AP172" s="28">
        <v>30470</v>
      </c>
      <c r="AQ172" s="28">
        <v>31000</v>
      </c>
      <c r="AR172" s="28">
        <v>32360</v>
      </c>
      <c r="AS172" s="28">
        <v>33910</v>
      </c>
      <c r="AT172" s="28">
        <v>35560</v>
      </c>
      <c r="AU172" s="28">
        <v>37660</v>
      </c>
      <c r="AV172" s="28">
        <v>39970</v>
      </c>
      <c r="AW172" s="28">
        <v>42010</v>
      </c>
      <c r="AX172" s="28">
        <v>42300</v>
      </c>
      <c r="AY172" s="28">
        <v>42720</v>
      </c>
      <c r="AZ172" s="28">
        <v>42130</v>
      </c>
      <c r="BA172" s="28">
        <v>42330</v>
      </c>
      <c r="BB172" s="28">
        <v>42140</v>
      </c>
      <c r="BC172" s="28">
        <v>40550</v>
      </c>
      <c r="BD172" s="28">
        <v>39480</v>
      </c>
      <c r="BE172" s="28">
        <v>38280</v>
      </c>
      <c r="BF172" s="28">
        <v>38440</v>
      </c>
      <c r="BG172" s="28">
        <v>37090</v>
      </c>
      <c r="BH172" s="28">
        <v>35380</v>
      </c>
      <c r="BI172" s="28">
        <v>35420</v>
      </c>
      <c r="BJ172" s="28">
        <v>35920</v>
      </c>
      <c r="BK172" s="28">
        <v>35750</v>
      </c>
      <c r="BL172" s="28">
        <v>36310</v>
      </c>
    </row>
    <row r="173" spans="1:64" x14ac:dyDescent="0.2">
      <c r="A173" s="28">
        <v>63</v>
      </c>
      <c r="B173" s="80">
        <v>16270</v>
      </c>
      <c r="C173" s="80">
        <v>18230</v>
      </c>
      <c r="D173" s="80">
        <v>18890</v>
      </c>
      <c r="E173" s="80">
        <v>19760</v>
      </c>
      <c r="F173" s="80">
        <v>23410</v>
      </c>
      <c r="G173" s="80">
        <v>23320</v>
      </c>
      <c r="H173" s="80">
        <v>23240</v>
      </c>
      <c r="I173" s="80">
        <v>23270</v>
      </c>
      <c r="J173" s="80">
        <v>23450</v>
      </c>
      <c r="K173" s="80">
        <v>23720</v>
      </c>
      <c r="L173" s="28">
        <v>23970</v>
      </c>
      <c r="M173" s="28">
        <v>24880</v>
      </c>
      <c r="N173" s="28">
        <v>25540</v>
      </c>
      <c r="O173" s="28">
        <v>26470</v>
      </c>
      <c r="P173" s="28">
        <v>27190</v>
      </c>
      <c r="Q173" s="28">
        <v>27170</v>
      </c>
      <c r="R173" s="28">
        <v>28590</v>
      </c>
      <c r="S173" s="28">
        <v>29040</v>
      </c>
      <c r="T173" s="28">
        <v>29960</v>
      </c>
      <c r="U173" s="28">
        <v>30710</v>
      </c>
      <c r="V173" s="28">
        <v>30600</v>
      </c>
      <c r="W173" s="28">
        <v>30330</v>
      </c>
      <c r="X173" s="28">
        <v>29400</v>
      </c>
      <c r="Y173" s="28">
        <v>29150</v>
      </c>
      <c r="Z173" s="28">
        <v>28970</v>
      </c>
      <c r="AA173" s="28">
        <v>29480</v>
      </c>
      <c r="AB173" s="28">
        <v>29920</v>
      </c>
      <c r="AC173" s="28">
        <v>29790</v>
      </c>
      <c r="AD173" s="28">
        <v>30520</v>
      </c>
      <c r="AE173" s="28">
        <v>30340</v>
      </c>
      <c r="AF173" s="28">
        <v>29350</v>
      </c>
      <c r="AG173" s="28">
        <v>28560</v>
      </c>
      <c r="AH173" s="28">
        <v>27550</v>
      </c>
      <c r="AI173" s="28">
        <v>26920</v>
      </c>
      <c r="AJ173" s="28">
        <v>26900</v>
      </c>
      <c r="AK173" s="28">
        <v>26400</v>
      </c>
      <c r="AL173" s="28">
        <v>27140</v>
      </c>
      <c r="AM173" s="28">
        <v>27660</v>
      </c>
      <c r="AN173" s="28">
        <v>28450</v>
      </c>
      <c r="AO173" s="28">
        <v>28780</v>
      </c>
      <c r="AP173" s="28">
        <v>29930</v>
      </c>
      <c r="AQ173" s="28">
        <v>30470</v>
      </c>
      <c r="AR173" s="28">
        <v>31000</v>
      </c>
      <c r="AS173" s="28">
        <v>32360</v>
      </c>
      <c r="AT173" s="28">
        <v>33900</v>
      </c>
      <c r="AU173" s="28">
        <v>35550</v>
      </c>
      <c r="AV173" s="28">
        <v>37650</v>
      </c>
      <c r="AW173" s="28">
        <v>39960</v>
      </c>
      <c r="AX173" s="28">
        <v>41990</v>
      </c>
      <c r="AY173" s="28">
        <v>42280</v>
      </c>
      <c r="AZ173" s="28">
        <v>42710</v>
      </c>
      <c r="BA173" s="28">
        <v>42130</v>
      </c>
      <c r="BB173" s="28">
        <v>42320</v>
      </c>
      <c r="BC173" s="28">
        <v>42140</v>
      </c>
      <c r="BD173" s="28">
        <v>40560</v>
      </c>
      <c r="BE173" s="28">
        <v>39490</v>
      </c>
      <c r="BF173" s="28">
        <v>38290</v>
      </c>
      <c r="BG173" s="28">
        <v>38460</v>
      </c>
      <c r="BH173" s="28">
        <v>37110</v>
      </c>
      <c r="BI173" s="28">
        <v>35400</v>
      </c>
      <c r="BJ173" s="28">
        <v>35450</v>
      </c>
      <c r="BK173" s="28">
        <v>35950</v>
      </c>
      <c r="BL173" s="28">
        <v>35780</v>
      </c>
    </row>
    <row r="174" spans="1:64" x14ac:dyDescent="0.2">
      <c r="A174" s="28">
        <v>64</v>
      </c>
      <c r="B174" s="80">
        <v>17930</v>
      </c>
      <c r="C174" s="80">
        <v>16110</v>
      </c>
      <c r="D174" s="80">
        <v>18080</v>
      </c>
      <c r="E174" s="80">
        <v>18740</v>
      </c>
      <c r="F174" s="80">
        <v>19670</v>
      </c>
      <c r="G174" s="80">
        <v>23280</v>
      </c>
      <c r="H174" s="80">
        <v>23190</v>
      </c>
      <c r="I174" s="80">
        <v>23140</v>
      </c>
      <c r="J174" s="80">
        <v>23190</v>
      </c>
      <c r="K174" s="80">
        <v>23390</v>
      </c>
      <c r="L174" s="28">
        <v>23670</v>
      </c>
      <c r="M174" s="28">
        <v>23930</v>
      </c>
      <c r="N174" s="28">
        <v>24830</v>
      </c>
      <c r="O174" s="28">
        <v>25470</v>
      </c>
      <c r="P174" s="28">
        <v>26390</v>
      </c>
      <c r="Q174" s="28">
        <v>27090</v>
      </c>
      <c r="R174" s="28">
        <v>27060</v>
      </c>
      <c r="S174" s="28">
        <v>28480</v>
      </c>
      <c r="T174" s="28">
        <v>28930</v>
      </c>
      <c r="U174" s="28">
        <v>29850</v>
      </c>
      <c r="V174" s="28">
        <v>30600</v>
      </c>
      <c r="W174" s="28">
        <v>30490</v>
      </c>
      <c r="X174" s="28">
        <v>30230</v>
      </c>
      <c r="Y174" s="28">
        <v>29320</v>
      </c>
      <c r="Z174" s="28">
        <v>29070</v>
      </c>
      <c r="AA174" s="28">
        <v>28890</v>
      </c>
      <c r="AB174" s="28">
        <v>29400</v>
      </c>
      <c r="AC174" s="28">
        <v>29840</v>
      </c>
      <c r="AD174" s="28">
        <v>29730</v>
      </c>
      <c r="AE174" s="28">
        <v>30450</v>
      </c>
      <c r="AF174" s="28">
        <v>30270</v>
      </c>
      <c r="AG174" s="28">
        <v>29300</v>
      </c>
      <c r="AH174" s="28">
        <v>28520</v>
      </c>
      <c r="AI174" s="28">
        <v>27510</v>
      </c>
      <c r="AJ174" s="28">
        <v>26890</v>
      </c>
      <c r="AK174" s="28">
        <v>26870</v>
      </c>
      <c r="AL174" s="28">
        <v>26380</v>
      </c>
      <c r="AM174" s="28">
        <v>27110</v>
      </c>
      <c r="AN174" s="28">
        <v>27640</v>
      </c>
      <c r="AO174" s="28">
        <v>28430</v>
      </c>
      <c r="AP174" s="28">
        <v>28760</v>
      </c>
      <c r="AQ174" s="28">
        <v>29910</v>
      </c>
      <c r="AR174" s="28">
        <v>30450</v>
      </c>
      <c r="AS174" s="28">
        <v>30980</v>
      </c>
      <c r="AT174" s="28">
        <v>32340</v>
      </c>
      <c r="AU174" s="28">
        <v>33880</v>
      </c>
      <c r="AV174" s="28">
        <v>35530</v>
      </c>
      <c r="AW174" s="28">
        <v>37620</v>
      </c>
      <c r="AX174" s="28">
        <v>39930</v>
      </c>
      <c r="AY174" s="28">
        <v>41960</v>
      </c>
      <c r="AZ174" s="28">
        <v>42260</v>
      </c>
      <c r="BA174" s="28">
        <v>42680</v>
      </c>
      <c r="BB174" s="28">
        <v>42110</v>
      </c>
      <c r="BC174" s="28">
        <v>42300</v>
      </c>
      <c r="BD174" s="28">
        <v>42130</v>
      </c>
      <c r="BE174" s="28">
        <v>40550</v>
      </c>
      <c r="BF174" s="28">
        <v>39480</v>
      </c>
      <c r="BG174" s="28">
        <v>38290</v>
      </c>
      <c r="BH174" s="28">
        <v>38460</v>
      </c>
      <c r="BI174" s="28">
        <v>37120</v>
      </c>
      <c r="BJ174" s="28">
        <v>35410</v>
      </c>
      <c r="BK174" s="28">
        <v>35460</v>
      </c>
      <c r="BL174" s="28">
        <v>35960</v>
      </c>
    </row>
    <row r="175" spans="1:64" x14ac:dyDescent="0.2">
      <c r="A175" s="28">
        <v>65</v>
      </c>
      <c r="B175" s="80">
        <v>17660</v>
      </c>
      <c r="C175" s="80">
        <v>17780</v>
      </c>
      <c r="D175" s="80">
        <v>15980</v>
      </c>
      <c r="E175" s="80">
        <v>17930</v>
      </c>
      <c r="F175" s="80">
        <v>18590</v>
      </c>
      <c r="G175" s="80">
        <v>19590</v>
      </c>
      <c r="H175" s="80">
        <v>23200</v>
      </c>
      <c r="I175" s="80">
        <v>23070</v>
      </c>
      <c r="J175" s="80">
        <v>23070</v>
      </c>
      <c r="K175" s="80">
        <v>23170</v>
      </c>
      <c r="L175" s="28">
        <v>23340</v>
      </c>
      <c r="M175" s="28">
        <v>23600</v>
      </c>
      <c r="N175" s="28">
        <v>23850</v>
      </c>
      <c r="O175" s="28">
        <v>24730</v>
      </c>
      <c r="P175" s="28">
        <v>25360</v>
      </c>
      <c r="Q175" s="28">
        <v>26270</v>
      </c>
      <c r="R175" s="28">
        <v>26950</v>
      </c>
      <c r="S175" s="28">
        <v>26930</v>
      </c>
      <c r="T175" s="28">
        <v>28340</v>
      </c>
      <c r="U175" s="28">
        <v>28800</v>
      </c>
      <c r="V175" s="28">
        <v>29720</v>
      </c>
      <c r="W175" s="28">
        <v>30470</v>
      </c>
      <c r="X175" s="28">
        <v>30370</v>
      </c>
      <c r="Y175" s="28">
        <v>30110</v>
      </c>
      <c r="Z175" s="28">
        <v>29210</v>
      </c>
      <c r="AA175" s="28">
        <v>28970</v>
      </c>
      <c r="AB175" s="28">
        <v>28800</v>
      </c>
      <c r="AC175" s="28">
        <v>29310</v>
      </c>
      <c r="AD175" s="28">
        <v>29750</v>
      </c>
      <c r="AE175" s="28">
        <v>29640</v>
      </c>
      <c r="AF175" s="28">
        <v>30360</v>
      </c>
      <c r="AG175" s="28">
        <v>30190</v>
      </c>
      <c r="AH175" s="28">
        <v>29230</v>
      </c>
      <c r="AI175" s="28">
        <v>28460</v>
      </c>
      <c r="AJ175" s="28">
        <v>27450</v>
      </c>
      <c r="AK175" s="28">
        <v>26840</v>
      </c>
      <c r="AL175" s="28">
        <v>26830</v>
      </c>
      <c r="AM175" s="28">
        <v>26340</v>
      </c>
      <c r="AN175" s="28">
        <v>27070</v>
      </c>
      <c r="AO175" s="28">
        <v>27600</v>
      </c>
      <c r="AP175" s="28">
        <v>28390</v>
      </c>
      <c r="AQ175" s="28">
        <v>28720</v>
      </c>
      <c r="AR175" s="28">
        <v>29870</v>
      </c>
      <c r="AS175" s="28">
        <v>30410</v>
      </c>
      <c r="AT175" s="28">
        <v>30950</v>
      </c>
      <c r="AU175" s="28">
        <v>32300</v>
      </c>
      <c r="AV175" s="28">
        <v>33840</v>
      </c>
      <c r="AW175" s="28">
        <v>35490</v>
      </c>
      <c r="AX175" s="28">
        <v>37580</v>
      </c>
      <c r="AY175" s="28">
        <v>39880</v>
      </c>
      <c r="AZ175" s="28">
        <v>41910</v>
      </c>
      <c r="BA175" s="28">
        <v>42210</v>
      </c>
      <c r="BB175" s="28">
        <v>42640</v>
      </c>
      <c r="BC175" s="28">
        <v>42070</v>
      </c>
      <c r="BD175" s="28">
        <v>42270</v>
      </c>
      <c r="BE175" s="28">
        <v>42090</v>
      </c>
      <c r="BF175" s="28">
        <v>40520</v>
      </c>
      <c r="BG175" s="28">
        <v>39460</v>
      </c>
      <c r="BH175" s="28">
        <v>38280</v>
      </c>
      <c r="BI175" s="28">
        <v>38450</v>
      </c>
      <c r="BJ175" s="28">
        <v>37110</v>
      </c>
      <c r="BK175" s="28">
        <v>35410</v>
      </c>
      <c r="BL175" s="28">
        <v>35460</v>
      </c>
    </row>
    <row r="176" spans="1:64" x14ac:dyDescent="0.2">
      <c r="A176" s="28">
        <v>66</v>
      </c>
      <c r="B176" s="80">
        <v>16280</v>
      </c>
      <c r="C176" s="80">
        <v>17430</v>
      </c>
      <c r="D176" s="80">
        <v>17580</v>
      </c>
      <c r="E176" s="80">
        <v>15830</v>
      </c>
      <c r="F176" s="80">
        <v>17790</v>
      </c>
      <c r="G176" s="80">
        <v>18420</v>
      </c>
      <c r="H176" s="80">
        <v>19390</v>
      </c>
      <c r="I176" s="80">
        <v>23050</v>
      </c>
      <c r="J176" s="80">
        <v>22910</v>
      </c>
      <c r="K176" s="80">
        <v>22870</v>
      </c>
      <c r="L176" s="28">
        <v>23040</v>
      </c>
      <c r="M176" s="28">
        <v>23230</v>
      </c>
      <c r="N176" s="28">
        <v>23490</v>
      </c>
      <c r="O176" s="28">
        <v>23730</v>
      </c>
      <c r="P176" s="28">
        <v>24590</v>
      </c>
      <c r="Q176" s="28">
        <v>25220</v>
      </c>
      <c r="R176" s="28">
        <v>26100</v>
      </c>
      <c r="S176" s="28">
        <v>26790</v>
      </c>
      <c r="T176" s="28">
        <v>26770</v>
      </c>
      <c r="U176" s="28">
        <v>28180</v>
      </c>
      <c r="V176" s="28">
        <v>28640</v>
      </c>
      <c r="W176" s="28">
        <v>29560</v>
      </c>
      <c r="X176" s="28">
        <v>30310</v>
      </c>
      <c r="Y176" s="28">
        <v>30220</v>
      </c>
      <c r="Z176" s="28">
        <v>29970</v>
      </c>
      <c r="AA176" s="28">
        <v>29080</v>
      </c>
      <c r="AB176" s="28">
        <v>28840</v>
      </c>
      <c r="AC176" s="28">
        <v>28680</v>
      </c>
      <c r="AD176" s="28">
        <v>29190</v>
      </c>
      <c r="AE176" s="28">
        <v>29640</v>
      </c>
      <c r="AF176" s="28">
        <v>29530</v>
      </c>
      <c r="AG176" s="28">
        <v>30260</v>
      </c>
      <c r="AH176" s="28">
        <v>30090</v>
      </c>
      <c r="AI176" s="28">
        <v>29140</v>
      </c>
      <c r="AJ176" s="28">
        <v>28370</v>
      </c>
      <c r="AK176" s="28">
        <v>27380</v>
      </c>
      <c r="AL176" s="28">
        <v>26770</v>
      </c>
      <c r="AM176" s="28">
        <v>26760</v>
      </c>
      <c r="AN176" s="28">
        <v>26280</v>
      </c>
      <c r="AO176" s="28">
        <v>27010</v>
      </c>
      <c r="AP176" s="28">
        <v>27540</v>
      </c>
      <c r="AQ176" s="28">
        <v>28340</v>
      </c>
      <c r="AR176" s="28">
        <v>28670</v>
      </c>
      <c r="AS176" s="28">
        <v>29820</v>
      </c>
      <c r="AT176" s="28">
        <v>30360</v>
      </c>
      <c r="AU176" s="28">
        <v>30890</v>
      </c>
      <c r="AV176" s="28">
        <v>32250</v>
      </c>
      <c r="AW176" s="28">
        <v>33780</v>
      </c>
      <c r="AX176" s="28">
        <v>35430</v>
      </c>
      <c r="AY176" s="28">
        <v>37520</v>
      </c>
      <c r="AZ176" s="28">
        <v>39820</v>
      </c>
      <c r="BA176" s="28">
        <v>41840</v>
      </c>
      <c r="BB176" s="28">
        <v>42140</v>
      </c>
      <c r="BC176" s="28">
        <v>42580</v>
      </c>
      <c r="BD176" s="28">
        <v>42010</v>
      </c>
      <c r="BE176" s="28">
        <v>42210</v>
      </c>
      <c r="BF176" s="28">
        <v>42040</v>
      </c>
      <c r="BG176" s="28">
        <v>40480</v>
      </c>
      <c r="BH176" s="28">
        <v>39420</v>
      </c>
      <c r="BI176" s="28">
        <v>38240</v>
      </c>
      <c r="BJ176" s="28">
        <v>38410</v>
      </c>
      <c r="BK176" s="28">
        <v>37080</v>
      </c>
      <c r="BL176" s="28">
        <v>35390</v>
      </c>
    </row>
    <row r="177" spans="1:64" x14ac:dyDescent="0.2">
      <c r="A177" s="28">
        <v>67</v>
      </c>
      <c r="B177" s="80">
        <v>14490</v>
      </c>
      <c r="C177" s="80">
        <v>16080</v>
      </c>
      <c r="D177" s="80">
        <v>17200</v>
      </c>
      <c r="E177" s="80">
        <v>17370</v>
      </c>
      <c r="F177" s="80">
        <v>15630</v>
      </c>
      <c r="G177" s="80">
        <v>17630</v>
      </c>
      <c r="H177" s="80">
        <v>18190</v>
      </c>
      <c r="I177" s="80">
        <v>19250</v>
      </c>
      <c r="J177" s="80">
        <v>22850</v>
      </c>
      <c r="K177" s="80">
        <v>22710</v>
      </c>
      <c r="L177" s="28">
        <v>22670</v>
      </c>
      <c r="M177" s="28">
        <v>22890</v>
      </c>
      <c r="N177" s="28">
        <v>23080</v>
      </c>
      <c r="O177" s="28">
        <v>23330</v>
      </c>
      <c r="P177" s="28">
        <v>23560</v>
      </c>
      <c r="Q177" s="28">
        <v>24410</v>
      </c>
      <c r="R177" s="28">
        <v>25030</v>
      </c>
      <c r="S177" s="28">
        <v>25910</v>
      </c>
      <c r="T177" s="28">
        <v>26600</v>
      </c>
      <c r="U177" s="28">
        <v>26590</v>
      </c>
      <c r="V177" s="28">
        <v>27990</v>
      </c>
      <c r="W177" s="28">
        <v>28450</v>
      </c>
      <c r="X177" s="28">
        <v>29370</v>
      </c>
      <c r="Y177" s="28">
        <v>30120</v>
      </c>
      <c r="Z177" s="28">
        <v>30040</v>
      </c>
      <c r="AA177" s="28">
        <v>29800</v>
      </c>
      <c r="AB177" s="28">
        <v>28920</v>
      </c>
      <c r="AC177" s="28">
        <v>28690</v>
      </c>
      <c r="AD177" s="28">
        <v>28540</v>
      </c>
      <c r="AE177" s="28">
        <v>29050</v>
      </c>
      <c r="AF177" s="28">
        <v>29500</v>
      </c>
      <c r="AG177" s="28">
        <v>29400</v>
      </c>
      <c r="AH177" s="28">
        <v>30120</v>
      </c>
      <c r="AI177" s="28">
        <v>29970</v>
      </c>
      <c r="AJ177" s="28">
        <v>29020</v>
      </c>
      <c r="AK177" s="28">
        <v>28260</v>
      </c>
      <c r="AL177" s="28">
        <v>27280</v>
      </c>
      <c r="AM177" s="28">
        <v>26680</v>
      </c>
      <c r="AN177" s="28">
        <v>26670</v>
      </c>
      <c r="AO177" s="28">
        <v>26200</v>
      </c>
      <c r="AP177" s="28">
        <v>26930</v>
      </c>
      <c r="AQ177" s="28">
        <v>27460</v>
      </c>
      <c r="AR177" s="28">
        <v>28260</v>
      </c>
      <c r="AS177" s="28">
        <v>28590</v>
      </c>
      <c r="AT177" s="28">
        <v>29740</v>
      </c>
      <c r="AU177" s="28">
        <v>30280</v>
      </c>
      <c r="AV177" s="28">
        <v>30820</v>
      </c>
      <c r="AW177" s="28">
        <v>32170</v>
      </c>
      <c r="AX177" s="28">
        <v>33700</v>
      </c>
      <c r="AY177" s="28">
        <v>35350</v>
      </c>
      <c r="AZ177" s="28">
        <v>37430</v>
      </c>
      <c r="BA177" s="28">
        <v>39730</v>
      </c>
      <c r="BB177" s="28">
        <v>41750</v>
      </c>
      <c r="BC177" s="28">
        <v>42060</v>
      </c>
      <c r="BD177" s="28">
        <v>42490</v>
      </c>
      <c r="BE177" s="28">
        <v>41930</v>
      </c>
      <c r="BF177" s="28">
        <v>42130</v>
      </c>
      <c r="BG177" s="28">
        <v>41970</v>
      </c>
      <c r="BH177" s="28">
        <v>40410</v>
      </c>
      <c r="BI177" s="28">
        <v>39360</v>
      </c>
      <c r="BJ177" s="28">
        <v>38190</v>
      </c>
      <c r="BK177" s="28">
        <v>38360</v>
      </c>
      <c r="BL177" s="28">
        <v>37040</v>
      </c>
    </row>
    <row r="178" spans="1:64" x14ac:dyDescent="0.2">
      <c r="A178" s="28">
        <v>68</v>
      </c>
      <c r="B178" s="80">
        <v>13990</v>
      </c>
      <c r="C178" s="80">
        <v>14260</v>
      </c>
      <c r="D178" s="80">
        <v>15840</v>
      </c>
      <c r="E178" s="80">
        <v>16980</v>
      </c>
      <c r="F178" s="80">
        <v>17180</v>
      </c>
      <c r="G178" s="80">
        <v>15460</v>
      </c>
      <c r="H178" s="80">
        <v>17420</v>
      </c>
      <c r="I178" s="80">
        <v>18010</v>
      </c>
      <c r="J178" s="80">
        <v>19070</v>
      </c>
      <c r="K178" s="80">
        <v>22610</v>
      </c>
      <c r="L178" s="28">
        <v>22560</v>
      </c>
      <c r="M178" s="28">
        <v>22490</v>
      </c>
      <c r="N178" s="28">
        <v>22700</v>
      </c>
      <c r="O178" s="28">
        <v>22890</v>
      </c>
      <c r="P178" s="28">
        <v>23130</v>
      </c>
      <c r="Q178" s="28">
        <v>23360</v>
      </c>
      <c r="R178" s="28">
        <v>24190</v>
      </c>
      <c r="S178" s="28">
        <v>24810</v>
      </c>
      <c r="T178" s="28">
        <v>25690</v>
      </c>
      <c r="U178" s="28">
        <v>26380</v>
      </c>
      <c r="V178" s="28">
        <v>26380</v>
      </c>
      <c r="W178" s="28">
        <v>27780</v>
      </c>
      <c r="X178" s="28">
        <v>28240</v>
      </c>
      <c r="Y178" s="28">
        <v>29160</v>
      </c>
      <c r="Z178" s="28">
        <v>29910</v>
      </c>
      <c r="AA178" s="28">
        <v>29830</v>
      </c>
      <c r="AB178" s="28">
        <v>29600</v>
      </c>
      <c r="AC178" s="28">
        <v>28730</v>
      </c>
      <c r="AD178" s="28">
        <v>28520</v>
      </c>
      <c r="AE178" s="28">
        <v>28370</v>
      </c>
      <c r="AF178" s="28">
        <v>28880</v>
      </c>
      <c r="AG178" s="28">
        <v>29340</v>
      </c>
      <c r="AH178" s="28">
        <v>29240</v>
      </c>
      <c r="AI178" s="28">
        <v>29970</v>
      </c>
      <c r="AJ178" s="28">
        <v>29820</v>
      </c>
      <c r="AK178" s="28">
        <v>28880</v>
      </c>
      <c r="AL178" s="28">
        <v>28130</v>
      </c>
      <c r="AM178" s="28">
        <v>27160</v>
      </c>
      <c r="AN178" s="28">
        <v>26570</v>
      </c>
      <c r="AO178" s="28">
        <v>26570</v>
      </c>
      <c r="AP178" s="28">
        <v>26100</v>
      </c>
      <c r="AQ178" s="28">
        <v>26830</v>
      </c>
      <c r="AR178" s="28">
        <v>27360</v>
      </c>
      <c r="AS178" s="28">
        <v>28160</v>
      </c>
      <c r="AT178" s="28">
        <v>28490</v>
      </c>
      <c r="AU178" s="28">
        <v>29640</v>
      </c>
      <c r="AV178" s="28">
        <v>30180</v>
      </c>
      <c r="AW178" s="28">
        <v>30720</v>
      </c>
      <c r="AX178" s="28">
        <v>32070</v>
      </c>
      <c r="AY178" s="28">
        <v>33600</v>
      </c>
      <c r="AZ178" s="28">
        <v>35240</v>
      </c>
      <c r="BA178" s="28">
        <v>37330</v>
      </c>
      <c r="BB178" s="28">
        <v>39620</v>
      </c>
      <c r="BC178" s="28">
        <v>41640</v>
      </c>
      <c r="BD178" s="28">
        <v>41950</v>
      </c>
      <c r="BE178" s="28">
        <v>42380</v>
      </c>
      <c r="BF178" s="28">
        <v>41830</v>
      </c>
      <c r="BG178" s="28">
        <v>42040</v>
      </c>
      <c r="BH178" s="28">
        <v>41870</v>
      </c>
      <c r="BI178" s="28">
        <v>40320</v>
      </c>
      <c r="BJ178" s="28">
        <v>39280</v>
      </c>
      <c r="BK178" s="28">
        <v>38120</v>
      </c>
      <c r="BL178" s="28">
        <v>38290</v>
      </c>
    </row>
    <row r="179" spans="1:64" x14ac:dyDescent="0.2">
      <c r="A179" s="28">
        <v>69</v>
      </c>
      <c r="B179" s="80">
        <v>13200</v>
      </c>
      <c r="C179" s="80">
        <v>13760</v>
      </c>
      <c r="D179" s="80">
        <v>14020</v>
      </c>
      <c r="E179" s="80">
        <v>15590</v>
      </c>
      <c r="F179" s="80">
        <v>16690</v>
      </c>
      <c r="G179" s="80">
        <v>16960</v>
      </c>
      <c r="H179" s="80">
        <v>15240</v>
      </c>
      <c r="I179" s="80">
        <v>17190</v>
      </c>
      <c r="J179" s="80">
        <v>17780</v>
      </c>
      <c r="K179" s="80">
        <v>18860</v>
      </c>
      <c r="L179" s="28">
        <v>22410</v>
      </c>
      <c r="M179" s="28">
        <v>22330</v>
      </c>
      <c r="N179" s="28">
        <v>22260</v>
      </c>
      <c r="O179" s="28">
        <v>22470</v>
      </c>
      <c r="P179" s="28">
        <v>22650</v>
      </c>
      <c r="Q179" s="28">
        <v>22890</v>
      </c>
      <c r="R179" s="28">
        <v>23110</v>
      </c>
      <c r="S179" s="28">
        <v>23950</v>
      </c>
      <c r="T179" s="28">
        <v>24570</v>
      </c>
      <c r="U179" s="28">
        <v>25450</v>
      </c>
      <c r="V179" s="28">
        <v>26130</v>
      </c>
      <c r="W179" s="28">
        <v>26140</v>
      </c>
      <c r="X179" s="28">
        <v>27530</v>
      </c>
      <c r="Y179" s="28">
        <v>28000</v>
      </c>
      <c r="Z179" s="28">
        <v>28920</v>
      </c>
      <c r="AA179" s="28">
        <v>29670</v>
      </c>
      <c r="AB179" s="28">
        <v>29600</v>
      </c>
      <c r="AC179" s="28">
        <v>29380</v>
      </c>
      <c r="AD179" s="28">
        <v>28530</v>
      </c>
      <c r="AE179" s="28">
        <v>28320</v>
      </c>
      <c r="AF179" s="28">
        <v>28180</v>
      </c>
      <c r="AG179" s="28">
        <v>28700</v>
      </c>
      <c r="AH179" s="28">
        <v>29150</v>
      </c>
      <c r="AI179" s="28">
        <v>29060</v>
      </c>
      <c r="AJ179" s="28">
        <v>29790</v>
      </c>
      <c r="AK179" s="28">
        <v>29640</v>
      </c>
      <c r="AL179" s="28">
        <v>28720</v>
      </c>
      <c r="AM179" s="28">
        <v>27980</v>
      </c>
      <c r="AN179" s="28">
        <v>27020</v>
      </c>
      <c r="AO179" s="28">
        <v>26440</v>
      </c>
      <c r="AP179" s="28">
        <v>26440</v>
      </c>
      <c r="AQ179" s="28">
        <v>25980</v>
      </c>
      <c r="AR179" s="28">
        <v>26710</v>
      </c>
      <c r="AS179" s="28">
        <v>27250</v>
      </c>
      <c r="AT179" s="28">
        <v>28040</v>
      </c>
      <c r="AU179" s="28">
        <v>28380</v>
      </c>
      <c r="AV179" s="28">
        <v>29520</v>
      </c>
      <c r="AW179" s="28">
        <v>30070</v>
      </c>
      <c r="AX179" s="28">
        <v>30610</v>
      </c>
      <c r="AY179" s="28">
        <v>31960</v>
      </c>
      <c r="AZ179" s="28">
        <v>33490</v>
      </c>
      <c r="BA179" s="28">
        <v>35120</v>
      </c>
      <c r="BB179" s="28">
        <v>37200</v>
      </c>
      <c r="BC179" s="28">
        <v>39490</v>
      </c>
      <c r="BD179" s="28">
        <v>41510</v>
      </c>
      <c r="BE179" s="28">
        <v>41820</v>
      </c>
      <c r="BF179" s="28">
        <v>42260</v>
      </c>
      <c r="BG179" s="28">
        <v>41710</v>
      </c>
      <c r="BH179" s="28">
        <v>41920</v>
      </c>
      <c r="BI179" s="28">
        <v>41760</v>
      </c>
      <c r="BJ179" s="28">
        <v>40220</v>
      </c>
      <c r="BK179" s="28">
        <v>39190</v>
      </c>
      <c r="BL179" s="28">
        <v>38030</v>
      </c>
    </row>
    <row r="180" spans="1:64" x14ac:dyDescent="0.2">
      <c r="A180" s="28">
        <v>70</v>
      </c>
      <c r="B180" s="80">
        <v>12400</v>
      </c>
      <c r="C180" s="80">
        <v>12920</v>
      </c>
      <c r="D180" s="80">
        <v>13480</v>
      </c>
      <c r="E180" s="80">
        <v>13750</v>
      </c>
      <c r="F180" s="80">
        <v>15340</v>
      </c>
      <c r="G180" s="80">
        <v>16390</v>
      </c>
      <c r="H180" s="80">
        <v>16680</v>
      </c>
      <c r="I180" s="80">
        <v>14990</v>
      </c>
      <c r="J180" s="80">
        <v>16970</v>
      </c>
      <c r="K180" s="80">
        <v>17580</v>
      </c>
      <c r="L180" s="28">
        <v>18600</v>
      </c>
      <c r="M180" s="28">
        <v>22140</v>
      </c>
      <c r="N180" s="28">
        <v>22060</v>
      </c>
      <c r="O180" s="28">
        <v>21990</v>
      </c>
      <c r="P180" s="28">
        <v>22200</v>
      </c>
      <c r="Q180" s="28">
        <v>22380</v>
      </c>
      <c r="R180" s="28">
        <v>22620</v>
      </c>
      <c r="S180" s="28">
        <v>22850</v>
      </c>
      <c r="T180" s="28">
        <v>23680</v>
      </c>
      <c r="U180" s="28">
        <v>24300</v>
      </c>
      <c r="V180" s="28">
        <v>25180</v>
      </c>
      <c r="W180" s="28">
        <v>25860</v>
      </c>
      <c r="X180" s="28">
        <v>25880</v>
      </c>
      <c r="Y180" s="28">
        <v>27260</v>
      </c>
      <c r="Z180" s="28">
        <v>27730</v>
      </c>
      <c r="AA180" s="28">
        <v>28650</v>
      </c>
      <c r="AB180" s="28">
        <v>29400</v>
      </c>
      <c r="AC180" s="28">
        <v>29340</v>
      </c>
      <c r="AD180" s="28">
        <v>29130</v>
      </c>
      <c r="AE180" s="28">
        <v>28290</v>
      </c>
      <c r="AF180" s="28">
        <v>28090</v>
      </c>
      <c r="AG180" s="28">
        <v>27960</v>
      </c>
      <c r="AH180" s="28">
        <v>28480</v>
      </c>
      <c r="AI180" s="28">
        <v>28940</v>
      </c>
      <c r="AJ180" s="28">
        <v>28860</v>
      </c>
      <c r="AK180" s="28">
        <v>29590</v>
      </c>
      <c r="AL180" s="28">
        <v>29450</v>
      </c>
      <c r="AM180" s="28">
        <v>28540</v>
      </c>
      <c r="AN180" s="28">
        <v>27810</v>
      </c>
      <c r="AO180" s="28">
        <v>26860</v>
      </c>
      <c r="AP180" s="28">
        <v>26290</v>
      </c>
      <c r="AQ180" s="28">
        <v>26300</v>
      </c>
      <c r="AR180" s="28">
        <v>25840</v>
      </c>
      <c r="AS180" s="28">
        <v>26580</v>
      </c>
      <c r="AT180" s="28">
        <v>27110</v>
      </c>
      <c r="AU180" s="28">
        <v>27900</v>
      </c>
      <c r="AV180" s="28">
        <v>28240</v>
      </c>
      <c r="AW180" s="28">
        <v>29390</v>
      </c>
      <c r="AX180" s="28">
        <v>29940</v>
      </c>
      <c r="AY180" s="28">
        <v>30480</v>
      </c>
      <c r="AZ180" s="28">
        <v>31820</v>
      </c>
      <c r="BA180" s="28">
        <v>33350</v>
      </c>
      <c r="BB180" s="28">
        <v>34980</v>
      </c>
      <c r="BC180" s="28">
        <v>37060</v>
      </c>
      <c r="BD180" s="28">
        <v>39340</v>
      </c>
      <c r="BE180" s="28">
        <v>41360</v>
      </c>
      <c r="BF180" s="28">
        <v>41670</v>
      </c>
      <c r="BG180" s="28">
        <v>42110</v>
      </c>
      <c r="BH180" s="28">
        <v>41570</v>
      </c>
      <c r="BI180" s="28">
        <v>41790</v>
      </c>
      <c r="BJ180" s="28">
        <v>41630</v>
      </c>
      <c r="BK180" s="28">
        <v>40100</v>
      </c>
      <c r="BL180" s="28">
        <v>39080</v>
      </c>
    </row>
    <row r="181" spans="1:64" x14ac:dyDescent="0.2">
      <c r="A181" s="28">
        <v>71</v>
      </c>
      <c r="B181" s="80">
        <v>11940</v>
      </c>
      <c r="C181" s="80">
        <v>12080</v>
      </c>
      <c r="D181" s="80">
        <v>12600</v>
      </c>
      <c r="E181" s="80">
        <v>13170</v>
      </c>
      <c r="F181" s="80">
        <v>13490</v>
      </c>
      <c r="G181" s="80">
        <v>15030</v>
      </c>
      <c r="H181" s="80">
        <v>16060</v>
      </c>
      <c r="I181" s="80">
        <v>16410</v>
      </c>
      <c r="J181" s="80">
        <v>14750</v>
      </c>
      <c r="K181" s="80">
        <v>16670</v>
      </c>
      <c r="L181" s="28">
        <v>17330</v>
      </c>
      <c r="M181" s="28">
        <v>18340</v>
      </c>
      <c r="N181" s="28">
        <v>21830</v>
      </c>
      <c r="O181" s="28">
        <v>21750</v>
      </c>
      <c r="P181" s="28">
        <v>21690</v>
      </c>
      <c r="Q181" s="28">
        <v>21900</v>
      </c>
      <c r="R181" s="28">
        <v>22080</v>
      </c>
      <c r="S181" s="28">
        <v>22320</v>
      </c>
      <c r="T181" s="28">
        <v>22550</v>
      </c>
      <c r="U181" s="28">
        <v>23390</v>
      </c>
      <c r="V181" s="28">
        <v>24000</v>
      </c>
      <c r="W181" s="28">
        <v>24880</v>
      </c>
      <c r="X181" s="28">
        <v>25570</v>
      </c>
      <c r="Y181" s="28">
        <v>25590</v>
      </c>
      <c r="Z181" s="28">
        <v>26970</v>
      </c>
      <c r="AA181" s="28">
        <v>27440</v>
      </c>
      <c r="AB181" s="28">
        <v>28360</v>
      </c>
      <c r="AC181" s="28">
        <v>29110</v>
      </c>
      <c r="AD181" s="28">
        <v>29060</v>
      </c>
      <c r="AE181" s="28">
        <v>28860</v>
      </c>
      <c r="AF181" s="28">
        <v>28040</v>
      </c>
      <c r="AG181" s="28">
        <v>27850</v>
      </c>
      <c r="AH181" s="28">
        <v>27720</v>
      </c>
      <c r="AI181" s="28">
        <v>28250</v>
      </c>
      <c r="AJ181" s="28">
        <v>28710</v>
      </c>
      <c r="AK181" s="28">
        <v>28630</v>
      </c>
      <c r="AL181" s="28">
        <v>29360</v>
      </c>
      <c r="AM181" s="28">
        <v>29230</v>
      </c>
      <c r="AN181" s="28">
        <v>28340</v>
      </c>
      <c r="AO181" s="28">
        <v>27620</v>
      </c>
      <c r="AP181" s="28">
        <v>26680</v>
      </c>
      <c r="AQ181" s="28">
        <v>26120</v>
      </c>
      <c r="AR181" s="28">
        <v>26130</v>
      </c>
      <c r="AS181" s="28">
        <v>25680</v>
      </c>
      <c r="AT181" s="28">
        <v>26420</v>
      </c>
      <c r="AU181" s="28">
        <v>26960</v>
      </c>
      <c r="AV181" s="28">
        <v>27750</v>
      </c>
      <c r="AW181" s="28">
        <v>28090</v>
      </c>
      <c r="AX181" s="28">
        <v>29230</v>
      </c>
      <c r="AY181" s="28">
        <v>29780</v>
      </c>
      <c r="AZ181" s="28">
        <v>30330</v>
      </c>
      <c r="BA181" s="28">
        <v>31670</v>
      </c>
      <c r="BB181" s="28">
        <v>33200</v>
      </c>
      <c r="BC181" s="28">
        <v>34830</v>
      </c>
      <c r="BD181" s="28">
        <v>36890</v>
      </c>
      <c r="BE181" s="28">
        <v>39170</v>
      </c>
      <c r="BF181" s="28">
        <v>41180</v>
      </c>
      <c r="BG181" s="28">
        <v>41500</v>
      </c>
      <c r="BH181" s="28">
        <v>41950</v>
      </c>
      <c r="BI181" s="28">
        <v>41410</v>
      </c>
      <c r="BJ181" s="28">
        <v>41630</v>
      </c>
      <c r="BK181" s="28">
        <v>41480</v>
      </c>
      <c r="BL181" s="28">
        <v>39960</v>
      </c>
    </row>
    <row r="182" spans="1:64" x14ac:dyDescent="0.2">
      <c r="A182" s="28">
        <v>72</v>
      </c>
      <c r="B182" s="80">
        <v>11370</v>
      </c>
      <c r="C182" s="80">
        <v>11660</v>
      </c>
      <c r="D182" s="80">
        <v>11800</v>
      </c>
      <c r="E182" s="80">
        <v>12290</v>
      </c>
      <c r="F182" s="80">
        <v>12880</v>
      </c>
      <c r="G182" s="80">
        <v>13170</v>
      </c>
      <c r="H182" s="80">
        <v>14710</v>
      </c>
      <c r="I182" s="80">
        <v>15750</v>
      </c>
      <c r="J182" s="80">
        <v>16110</v>
      </c>
      <c r="K182" s="80">
        <v>14500</v>
      </c>
      <c r="L182" s="28">
        <v>16390</v>
      </c>
      <c r="M182" s="28">
        <v>17050</v>
      </c>
      <c r="N182" s="28">
        <v>18050</v>
      </c>
      <c r="O182" s="28">
        <v>21480</v>
      </c>
      <c r="P182" s="28">
        <v>21410</v>
      </c>
      <c r="Q182" s="28">
        <v>21350</v>
      </c>
      <c r="R182" s="28">
        <v>21560</v>
      </c>
      <c r="S182" s="28">
        <v>21750</v>
      </c>
      <c r="T182" s="28">
        <v>21990</v>
      </c>
      <c r="U182" s="28">
        <v>22230</v>
      </c>
      <c r="V182" s="28">
        <v>23060</v>
      </c>
      <c r="W182" s="28">
        <v>23680</v>
      </c>
      <c r="X182" s="28">
        <v>24560</v>
      </c>
      <c r="Y182" s="28">
        <v>25240</v>
      </c>
      <c r="Z182" s="28">
        <v>25270</v>
      </c>
      <c r="AA182" s="28">
        <v>26650</v>
      </c>
      <c r="AB182" s="28">
        <v>27120</v>
      </c>
      <c r="AC182" s="28">
        <v>28040</v>
      </c>
      <c r="AD182" s="28">
        <v>28790</v>
      </c>
      <c r="AE182" s="28">
        <v>28750</v>
      </c>
      <c r="AF182" s="28">
        <v>28560</v>
      </c>
      <c r="AG182" s="28">
        <v>27760</v>
      </c>
      <c r="AH182" s="28">
        <v>27570</v>
      </c>
      <c r="AI182" s="28">
        <v>27460</v>
      </c>
      <c r="AJ182" s="28">
        <v>27990</v>
      </c>
      <c r="AK182" s="28">
        <v>28450</v>
      </c>
      <c r="AL182" s="28">
        <v>28390</v>
      </c>
      <c r="AM182" s="28">
        <v>29120</v>
      </c>
      <c r="AN182" s="28">
        <v>29000</v>
      </c>
      <c r="AO182" s="28">
        <v>28110</v>
      </c>
      <c r="AP182" s="28">
        <v>27410</v>
      </c>
      <c r="AQ182" s="28">
        <v>26490</v>
      </c>
      <c r="AR182" s="28">
        <v>25930</v>
      </c>
      <c r="AS182" s="28">
        <v>25950</v>
      </c>
      <c r="AT182" s="28">
        <v>25510</v>
      </c>
      <c r="AU182" s="28">
        <v>26250</v>
      </c>
      <c r="AV182" s="28">
        <v>26790</v>
      </c>
      <c r="AW182" s="28">
        <v>27580</v>
      </c>
      <c r="AX182" s="28">
        <v>27920</v>
      </c>
      <c r="AY182" s="28">
        <v>29060</v>
      </c>
      <c r="AZ182" s="28">
        <v>29620</v>
      </c>
      <c r="BA182" s="28">
        <v>30160</v>
      </c>
      <c r="BB182" s="28">
        <v>31500</v>
      </c>
      <c r="BC182" s="28">
        <v>33020</v>
      </c>
      <c r="BD182" s="28">
        <v>34650</v>
      </c>
      <c r="BE182" s="28">
        <v>36710</v>
      </c>
      <c r="BF182" s="28">
        <v>38980</v>
      </c>
      <c r="BG182" s="28">
        <v>40990</v>
      </c>
      <c r="BH182" s="28">
        <v>41310</v>
      </c>
      <c r="BI182" s="28">
        <v>41760</v>
      </c>
      <c r="BJ182" s="28">
        <v>41230</v>
      </c>
      <c r="BK182" s="28">
        <v>41460</v>
      </c>
      <c r="BL182" s="28">
        <v>41320</v>
      </c>
    </row>
    <row r="183" spans="1:64" x14ac:dyDescent="0.2">
      <c r="A183" s="28">
        <v>73</v>
      </c>
      <c r="B183" s="80">
        <v>10890</v>
      </c>
      <c r="C183" s="80">
        <v>11030</v>
      </c>
      <c r="D183" s="80">
        <v>11360</v>
      </c>
      <c r="E183" s="80">
        <v>11460</v>
      </c>
      <c r="F183" s="80">
        <v>11980</v>
      </c>
      <c r="G183" s="80">
        <v>12540</v>
      </c>
      <c r="H183" s="80">
        <v>12830</v>
      </c>
      <c r="I183" s="80">
        <v>14360</v>
      </c>
      <c r="J183" s="80">
        <v>15390</v>
      </c>
      <c r="K183" s="80">
        <v>15770</v>
      </c>
      <c r="L183" s="28">
        <v>14220</v>
      </c>
      <c r="M183" s="28">
        <v>16090</v>
      </c>
      <c r="N183" s="28">
        <v>16740</v>
      </c>
      <c r="O183" s="28">
        <v>17720</v>
      </c>
      <c r="P183" s="28">
        <v>21090</v>
      </c>
      <c r="Q183" s="28">
        <v>21030</v>
      </c>
      <c r="R183" s="28">
        <v>20980</v>
      </c>
      <c r="S183" s="28">
        <v>21200</v>
      </c>
      <c r="T183" s="28">
        <v>21390</v>
      </c>
      <c r="U183" s="28">
        <v>21640</v>
      </c>
      <c r="V183" s="28">
        <v>21890</v>
      </c>
      <c r="W183" s="28">
        <v>22720</v>
      </c>
      <c r="X183" s="28">
        <v>23330</v>
      </c>
      <c r="Y183" s="28">
        <v>24210</v>
      </c>
      <c r="Z183" s="28">
        <v>24890</v>
      </c>
      <c r="AA183" s="28">
        <v>24930</v>
      </c>
      <c r="AB183" s="28">
        <v>26300</v>
      </c>
      <c r="AC183" s="28">
        <v>26780</v>
      </c>
      <c r="AD183" s="28">
        <v>27690</v>
      </c>
      <c r="AE183" s="28">
        <v>28440</v>
      </c>
      <c r="AF183" s="28">
        <v>28410</v>
      </c>
      <c r="AG183" s="28">
        <v>28240</v>
      </c>
      <c r="AH183" s="28">
        <v>27450</v>
      </c>
      <c r="AI183" s="28">
        <v>27280</v>
      </c>
      <c r="AJ183" s="28">
        <v>27170</v>
      </c>
      <c r="AK183" s="28">
        <v>27700</v>
      </c>
      <c r="AL183" s="28">
        <v>28170</v>
      </c>
      <c r="AM183" s="28">
        <v>28110</v>
      </c>
      <c r="AN183" s="28">
        <v>28850</v>
      </c>
      <c r="AO183" s="28">
        <v>28730</v>
      </c>
      <c r="AP183" s="28">
        <v>27870</v>
      </c>
      <c r="AQ183" s="28">
        <v>27180</v>
      </c>
      <c r="AR183" s="28">
        <v>26270</v>
      </c>
      <c r="AS183" s="28">
        <v>25730</v>
      </c>
      <c r="AT183" s="28">
        <v>25750</v>
      </c>
      <c r="AU183" s="28">
        <v>25320</v>
      </c>
      <c r="AV183" s="28">
        <v>26060</v>
      </c>
      <c r="AW183" s="28">
        <v>26600</v>
      </c>
      <c r="AX183" s="28">
        <v>27390</v>
      </c>
      <c r="AY183" s="28">
        <v>27740</v>
      </c>
      <c r="AZ183" s="28">
        <v>28880</v>
      </c>
      <c r="BA183" s="28">
        <v>29430</v>
      </c>
      <c r="BB183" s="28">
        <v>29970</v>
      </c>
      <c r="BC183" s="28">
        <v>31320</v>
      </c>
      <c r="BD183" s="28">
        <v>32830</v>
      </c>
      <c r="BE183" s="28">
        <v>34450</v>
      </c>
      <c r="BF183" s="28">
        <v>36510</v>
      </c>
      <c r="BG183" s="28">
        <v>38770</v>
      </c>
      <c r="BH183" s="28">
        <v>40780</v>
      </c>
      <c r="BI183" s="28">
        <v>41100</v>
      </c>
      <c r="BJ183" s="28">
        <v>41560</v>
      </c>
      <c r="BK183" s="28">
        <v>41040</v>
      </c>
      <c r="BL183" s="28">
        <v>41270</v>
      </c>
    </row>
    <row r="184" spans="1:64" x14ac:dyDescent="0.2">
      <c r="A184" s="28">
        <v>74</v>
      </c>
      <c r="B184" s="80">
        <v>10790</v>
      </c>
      <c r="C184" s="80">
        <v>10530</v>
      </c>
      <c r="D184" s="80">
        <v>10700</v>
      </c>
      <c r="E184" s="80">
        <v>11010</v>
      </c>
      <c r="F184" s="80">
        <v>11130</v>
      </c>
      <c r="G184" s="80">
        <v>11670</v>
      </c>
      <c r="H184" s="80">
        <v>12190</v>
      </c>
      <c r="I184" s="80">
        <v>12520</v>
      </c>
      <c r="J184" s="80">
        <v>14020</v>
      </c>
      <c r="K184" s="80">
        <v>15070</v>
      </c>
      <c r="L184" s="28">
        <v>15360</v>
      </c>
      <c r="M184" s="28">
        <v>13930</v>
      </c>
      <c r="N184" s="28">
        <v>15760</v>
      </c>
      <c r="O184" s="28">
        <v>16400</v>
      </c>
      <c r="P184" s="28">
        <v>17370</v>
      </c>
      <c r="Q184" s="28">
        <v>20670</v>
      </c>
      <c r="R184" s="28">
        <v>20620</v>
      </c>
      <c r="S184" s="28">
        <v>20580</v>
      </c>
      <c r="T184" s="28">
        <v>20800</v>
      </c>
      <c r="U184" s="28">
        <v>21000</v>
      </c>
      <c r="V184" s="28">
        <v>21260</v>
      </c>
      <c r="W184" s="28">
        <v>21520</v>
      </c>
      <c r="X184" s="28">
        <v>22340</v>
      </c>
      <c r="Y184" s="28">
        <v>22960</v>
      </c>
      <c r="Z184" s="28">
        <v>23830</v>
      </c>
      <c r="AA184" s="28">
        <v>24510</v>
      </c>
      <c r="AB184" s="28">
        <v>24560</v>
      </c>
      <c r="AC184" s="28">
        <v>25920</v>
      </c>
      <c r="AD184" s="28">
        <v>26400</v>
      </c>
      <c r="AE184" s="28">
        <v>27310</v>
      </c>
      <c r="AF184" s="28">
        <v>28070</v>
      </c>
      <c r="AG184" s="28">
        <v>28050</v>
      </c>
      <c r="AH184" s="28">
        <v>27880</v>
      </c>
      <c r="AI184" s="28">
        <v>27120</v>
      </c>
      <c r="AJ184" s="28">
        <v>26960</v>
      </c>
      <c r="AK184" s="28">
        <v>26860</v>
      </c>
      <c r="AL184" s="28">
        <v>27390</v>
      </c>
      <c r="AM184" s="28">
        <v>27870</v>
      </c>
      <c r="AN184" s="28">
        <v>27820</v>
      </c>
      <c r="AO184" s="28">
        <v>28550</v>
      </c>
      <c r="AP184" s="28">
        <v>28450</v>
      </c>
      <c r="AQ184" s="28">
        <v>27600</v>
      </c>
      <c r="AR184" s="28">
        <v>26920</v>
      </c>
      <c r="AS184" s="28">
        <v>26030</v>
      </c>
      <c r="AT184" s="28">
        <v>25500</v>
      </c>
      <c r="AU184" s="28">
        <v>25530</v>
      </c>
      <c r="AV184" s="28">
        <v>25110</v>
      </c>
      <c r="AW184" s="28">
        <v>25850</v>
      </c>
      <c r="AX184" s="28">
        <v>26390</v>
      </c>
      <c r="AY184" s="28">
        <v>27180</v>
      </c>
      <c r="AZ184" s="28">
        <v>27530</v>
      </c>
      <c r="BA184" s="28">
        <v>28670</v>
      </c>
      <c r="BB184" s="28">
        <v>29220</v>
      </c>
      <c r="BC184" s="28">
        <v>29770</v>
      </c>
      <c r="BD184" s="28">
        <v>31110</v>
      </c>
      <c r="BE184" s="28">
        <v>32620</v>
      </c>
      <c r="BF184" s="28">
        <v>34240</v>
      </c>
      <c r="BG184" s="28">
        <v>36290</v>
      </c>
      <c r="BH184" s="28">
        <v>38540</v>
      </c>
      <c r="BI184" s="28">
        <v>40540</v>
      </c>
      <c r="BJ184" s="28">
        <v>40870</v>
      </c>
      <c r="BK184" s="28">
        <v>41330</v>
      </c>
      <c r="BL184" s="28">
        <v>40820</v>
      </c>
    </row>
    <row r="185" spans="1:64" x14ac:dyDescent="0.2">
      <c r="A185" s="28">
        <v>75</v>
      </c>
      <c r="B185" s="80">
        <v>10770</v>
      </c>
      <c r="C185" s="80">
        <v>10450</v>
      </c>
      <c r="D185" s="80">
        <v>10190</v>
      </c>
      <c r="E185" s="80">
        <v>10350</v>
      </c>
      <c r="F185" s="80">
        <v>10640</v>
      </c>
      <c r="G185" s="80">
        <v>10790</v>
      </c>
      <c r="H185" s="80">
        <v>11310</v>
      </c>
      <c r="I185" s="80">
        <v>11820</v>
      </c>
      <c r="J185" s="80">
        <v>12210</v>
      </c>
      <c r="K185" s="80">
        <v>13660</v>
      </c>
      <c r="L185" s="28">
        <v>14650</v>
      </c>
      <c r="M185" s="28">
        <v>14990</v>
      </c>
      <c r="N185" s="28">
        <v>13600</v>
      </c>
      <c r="O185" s="28">
        <v>15390</v>
      </c>
      <c r="P185" s="28">
        <v>16030</v>
      </c>
      <c r="Q185" s="28">
        <v>16980</v>
      </c>
      <c r="R185" s="28">
        <v>20220</v>
      </c>
      <c r="S185" s="28">
        <v>20180</v>
      </c>
      <c r="T185" s="28">
        <v>20150</v>
      </c>
      <c r="U185" s="28">
        <v>20380</v>
      </c>
      <c r="V185" s="28">
        <v>20590</v>
      </c>
      <c r="W185" s="28">
        <v>20860</v>
      </c>
      <c r="X185" s="28">
        <v>21120</v>
      </c>
      <c r="Y185" s="28">
        <v>21940</v>
      </c>
      <c r="Z185" s="28">
        <v>22550</v>
      </c>
      <c r="AA185" s="28">
        <v>23420</v>
      </c>
      <c r="AB185" s="28">
        <v>24100</v>
      </c>
      <c r="AC185" s="28">
        <v>24170</v>
      </c>
      <c r="AD185" s="28">
        <v>25510</v>
      </c>
      <c r="AE185" s="28">
        <v>25990</v>
      </c>
      <c r="AF185" s="28">
        <v>26900</v>
      </c>
      <c r="AG185" s="28">
        <v>27660</v>
      </c>
      <c r="AH185" s="28">
        <v>27650</v>
      </c>
      <c r="AI185" s="28">
        <v>27500</v>
      </c>
      <c r="AJ185" s="28">
        <v>26750</v>
      </c>
      <c r="AK185" s="28">
        <v>26610</v>
      </c>
      <c r="AL185" s="28">
        <v>26520</v>
      </c>
      <c r="AM185" s="28">
        <v>27060</v>
      </c>
      <c r="AN185" s="28">
        <v>27530</v>
      </c>
      <c r="AO185" s="28">
        <v>27490</v>
      </c>
      <c r="AP185" s="28">
        <v>28230</v>
      </c>
      <c r="AQ185" s="28">
        <v>28130</v>
      </c>
      <c r="AR185" s="28">
        <v>27300</v>
      </c>
      <c r="AS185" s="28">
        <v>26640</v>
      </c>
      <c r="AT185" s="28">
        <v>25770</v>
      </c>
      <c r="AU185" s="28">
        <v>25250</v>
      </c>
      <c r="AV185" s="28">
        <v>25290</v>
      </c>
      <c r="AW185" s="28">
        <v>24880</v>
      </c>
      <c r="AX185" s="28">
        <v>25610</v>
      </c>
      <c r="AY185" s="28">
        <v>26160</v>
      </c>
      <c r="AZ185" s="28">
        <v>26950</v>
      </c>
      <c r="BA185" s="28">
        <v>27310</v>
      </c>
      <c r="BB185" s="28">
        <v>28440</v>
      </c>
      <c r="BC185" s="28">
        <v>28990</v>
      </c>
      <c r="BD185" s="28">
        <v>29550</v>
      </c>
      <c r="BE185" s="28">
        <v>30880</v>
      </c>
      <c r="BF185" s="28">
        <v>32380</v>
      </c>
      <c r="BG185" s="28">
        <v>34000</v>
      </c>
      <c r="BH185" s="28">
        <v>36040</v>
      </c>
      <c r="BI185" s="28">
        <v>38290</v>
      </c>
      <c r="BJ185" s="28">
        <v>40280</v>
      </c>
      <c r="BK185" s="28">
        <v>40610</v>
      </c>
      <c r="BL185" s="28">
        <v>41080</v>
      </c>
    </row>
    <row r="186" spans="1:64" x14ac:dyDescent="0.2">
      <c r="A186" s="28">
        <v>76</v>
      </c>
      <c r="B186" s="80">
        <v>10040</v>
      </c>
      <c r="C186" s="80">
        <v>10380</v>
      </c>
      <c r="D186" s="80">
        <v>10070</v>
      </c>
      <c r="E186" s="80">
        <v>9830</v>
      </c>
      <c r="F186" s="80">
        <v>9980</v>
      </c>
      <c r="G186" s="80">
        <v>10290</v>
      </c>
      <c r="H186" s="80">
        <v>10410</v>
      </c>
      <c r="I186" s="80">
        <v>10910</v>
      </c>
      <c r="J186" s="80">
        <v>11480</v>
      </c>
      <c r="K186" s="80">
        <v>11850</v>
      </c>
      <c r="L186" s="28">
        <v>13290</v>
      </c>
      <c r="M186" s="28">
        <v>14260</v>
      </c>
      <c r="N186" s="28">
        <v>14600</v>
      </c>
      <c r="O186" s="28">
        <v>13250</v>
      </c>
      <c r="P186" s="28">
        <v>15000</v>
      </c>
      <c r="Q186" s="28">
        <v>15630</v>
      </c>
      <c r="R186" s="28">
        <v>16560</v>
      </c>
      <c r="S186" s="28">
        <v>19730</v>
      </c>
      <c r="T186" s="28">
        <v>19710</v>
      </c>
      <c r="U186" s="28">
        <v>19690</v>
      </c>
      <c r="V186" s="28">
        <v>19930</v>
      </c>
      <c r="W186" s="28">
        <v>20150</v>
      </c>
      <c r="X186" s="28">
        <v>20420</v>
      </c>
      <c r="Y186" s="28">
        <v>20690</v>
      </c>
      <c r="Z186" s="28">
        <v>21500</v>
      </c>
      <c r="AA186" s="28">
        <v>22120</v>
      </c>
      <c r="AB186" s="28">
        <v>22970</v>
      </c>
      <c r="AC186" s="28">
        <v>23660</v>
      </c>
      <c r="AD186" s="28">
        <v>23730</v>
      </c>
      <c r="AE186" s="28">
        <v>25060</v>
      </c>
      <c r="AF186" s="28">
        <v>25550</v>
      </c>
      <c r="AG186" s="28">
        <v>26460</v>
      </c>
      <c r="AH186" s="28">
        <v>27210</v>
      </c>
      <c r="AI186" s="28">
        <v>27220</v>
      </c>
      <c r="AJ186" s="28">
        <v>27080</v>
      </c>
      <c r="AK186" s="28">
        <v>26360</v>
      </c>
      <c r="AL186" s="28">
        <v>26220</v>
      </c>
      <c r="AM186" s="28">
        <v>26150</v>
      </c>
      <c r="AN186" s="28">
        <v>26690</v>
      </c>
      <c r="AO186" s="28">
        <v>27170</v>
      </c>
      <c r="AP186" s="28">
        <v>27140</v>
      </c>
      <c r="AQ186" s="28">
        <v>27870</v>
      </c>
      <c r="AR186" s="28">
        <v>27790</v>
      </c>
      <c r="AS186" s="28">
        <v>26980</v>
      </c>
      <c r="AT186" s="28">
        <v>26340</v>
      </c>
      <c r="AU186" s="28">
        <v>25480</v>
      </c>
      <c r="AV186" s="28">
        <v>24980</v>
      </c>
      <c r="AW186" s="28">
        <v>25020</v>
      </c>
      <c r="AX186" s="28">
        <v>24620</v>
      </c>
      <c r="AY186" s="28">
        <v>25360</v>
      </c>
      <c r="AZ186" s="28">
        <v>25900</v>
      </c>
      <c r="BA186" s="28">
        <v>26690</v>
      </c>
      <c r="BB186" s="28">
        <v>27050</v>
      </c>
      <c r="BC186" s="28">
        <v>28180</v>
      </c>
      <c r="BD186" s="28">
        <v>28740</v>
      </c>
      <c r="BE186" s="28">
        <v>29290</v>
      </c>
      <c r="BF186" s="28">
        <v>30620</v>
      </c>
      <c r="BG186" s="28">
        <v>32120</v>
      </c>
      <c r="BH186" s="28">
        <v>33730</v>
      </c>
      <c r="BI186" s="28">
        <v>35760</v>
      </c>
      <c r="BJ186" s="28">
        <v>38000</v>
      </c>
      <c r="BK186" s="28">
        <v>39990</v>
      </c>
      <c r="BL186" s="28">
        <v>40330</v>
      </c>
    </row>
    <row r="187" spans="1:64" x14ac:dyDescent="0.2">
      <c r="A187" s="28">
        <v>77</v>
      </c>
      <c r="B187" s="80">
        <v>9480</v>
      </c>
      <c r="C187" s="80">
        <v>9590</v>
      </c>
      <c r="D187" s="80">
        <v>9950</v>
      </c>
      <c r="E187" s="80">
        <v>9670</v>
      </c>
      <c r="F187" s="80">
        <v>9460</v>
      </c>
      <c r="G187" s="80">
        <v>9610</v>
      </c>
      <c r="H187" s="80">
        <v>9880</v>
      </c>
      <c r="I187" s="80">
        <v>10020</v>
      </c>
      <c r="J187" s="80">
        <v>10580</v>
      </c>
      <c r="K187" s="80">
        <v>11120</v>
      </c>
      <c r="L187" s="28">
        <v>11460</v>
      </c>
      <c r="M187" s="28">
        <v>12880</v>
      </c>
      <c r="N187" s="28">
        <v>13830</v>
      </c>
      <c r="O187" s="28">
        <v>14170</v>
      </c>
      <c r="P187" s="28">
        <v>12870</v>
      </c>
      <c r="Q187" s="28">
        <v>14580</v>
      </c>
      <c r="R187" s="28">
        <v>15190</v>
      </c>
      <c r="S187" s="28">
        <v>16110</v>
      </c>
      <c r="T187" s="28">
        <v>19210</v>
      </c>
      <c r="U187" s="28">
        <v>19200</v>
      </c>
      <c r="V187" s="28">
        <v>19200</v>
      </c>
      <c r="W187" s="28">
        <v>19440</v>
      </c>
      <c r="X187" s="28">
        <v>19670</v>
      </c>
      <c r="Y187" s="28">
        <v>19940</v>
      </c>
      <c r="Z187" s="28">
        <v>20220</v>
      </c>
      <c r="AA187" s="28">
        <v>21020</v>
      </c>
      <c r="AB187" s="28">
        <v>21640</v>
      </c>
      <c r="AC187" s="28">
        <v>22490</v>
      </c>
      <c r="AD187" s="28">
        <v>23180</v>
      </c>
      <c r="AE187" s="28">
        <v>23260</v>
      </c>
      <c r="AF187" s="28">
        <v>24580</v>
      </c>
      <c r="AG187" s="28">
        <v>25070</v>
      </c>
      <c r="AH187" s="28">
        <v>25970</v>
      </c>
      <c r="AI187" s="28">
        <v>26720</v>
      </c>
      <c r="AJ187" s="28">
        <v>26740</v>
      </c>
      <c r="AK187" s="28">
        <v>26620</v>
      </c>
      <c r="AL187" s="28">
        <v>25920</v>
      </c>
      <c r="AM187" s="28">
        <v>25800</v>
      </c>
      <c r="AN187" s="28">
        <v>25740</v>
      </c>
      <c r="AO187" s="28">
        <v>26280</v>
      </c>
      <c r="AP187" s="28">
        <v>26760</v>
      </c>
      <c r="AQ187" s="28">
        <v>26750</v>
      </c>
      <c r="AR187" s="28">
        <v>27480</v>
      </c>
      <c r="AS187" s="28">
        <v>27410</v>
      </c>
      <c r="AT187" s="28">
        <v>26620</v>
      </c>
      <c r="AU187" s="28">
        <v>26000</v>
      </c>
      <c r="AV187" s="28">
        <v>25160</v>
      </c>
      <c r="AW187" s="28">
        <v>24670</v>
      </c>
      <c r="AX187" s="28">
        <v>24720</v>
      </c>
      <c r="AY187" s="28">
        <v>24340</v>
      </c>
      <c r="AZ187" s="28">
        <v>25070</v>
      </c>
      <c r="BA187" s="28">
        <v>25620</v>
      </c>
      <c r="BB187" s="28">
        <v>26410</v>
      </c>
      <c r="BC187" s="28">
        <v>26770</v>
      </c>
      <c r="BD187" s="28">
        <v>27900</v>
      </c>
      <c r="BE187" s="28">
        <v>28460</v>
      </c>
      <c r="BF187" s="28">
        <v>29010</v>
      </c>
      <c r="BG187" s="28">
        <v>30340</v>
      </c>
      <c r="BH187" s="28">
        <v>31830</v>
      </c>
      <c r="BI187" s="28">
        <v>33430</v>
      </c>
      <c r="BJ187" s="28">
        <v>35450</v>
      </c>
      <c r="BK187" s="28">
        <v>37680</v>
      </c>
      <c r="BL187" s="28">
        <v>39650</v>
      </c>
    </row>
    <row r="188" spans="1:64" x14ac:dyDescent="0.2">
      <c r="A188" s="28">
        <v>78</v>
      </c>
      <c r="B188" s="80">
        <v>9060</v>
      </c>
      <c r="C188" s="80">
        <v>9040</v>
      </c>
      <c r="D188" s="80">
        <v>9120</v>
      </c>
      <c r="E188" s="80">
        <v>9480</v>
      </c>
      <c r="F188" s="80">
        <v>9290</v>
      </c>
      <c r="G188" s="80">
        <v>8990</v>
      </c>
      <c r="H188" s="80">
        <v>9200</v>
      </c>
      <c r="I188" s="80">
        <v>9480</v>
      </c>
      <c r="J188" s="80">
        <v>9640</v>
      </c>
      <c r="K188" s="80">
        <v>10190</v>
      </c>
      <c r="L188" s="28">
        <v>10680</v>
      </c>
      <c r="M188" s="28">
        <v>11070</v>
      </c>
      <c r="N188" s="28">
        <v>12440</v>
      </c>
      <c r="O188" s="28">
        <v>13370</v>
      </c>
      <c r="P188" s="28">
        <v>13700</v>
      </c>
      <c r="Q188" s="28">
        <v>12460</v>
      </c>
      <c r="R188" s="28">
        <v>14120</v>
      </c>
      <c r="S188" s="28">
        <v>14730</v>
      </c>
      <c r="T188" s="28">
        <v>15630</v>
      </c>
      <c r="U188" s="28">
        <v>18640</v>
      </c>
      <c r="V188" s="28">
        <v>18650</v>
      </c>
      <c r="W188" s="28">
        <v>18660</v>
      </c>
      <c r="X188" s="28">
        <v>18920</v>
      </c>
      <c r="Y188" s="28">
        <v>19150</v>
      </c>
      <c r="Z188" s="28">
        <v>19430</v>
      </c>
      <c r="AA188" s="28">
        <v>19710</v>
      </c>
      <c r="AB188" s="28">
        <v>20510</v>
      </c>
      <c r="AC188" s="28">
        <v>21120</v>
      </c>
      <c r="AD188" s="28">
        <v>21970</v>
      </c>
      <c r="AE188" s="28">
        <v>22650</v>
      </c>
      <c r="AF188" s="28">
        <v>22740</v>
      </c>
      <c r="AG188" s="28">
        <v>24040</v>
      </c>
      <c r="AH188" s="28">
        <v>24540</v>
      </c>
      <c r="AI188" s="28">
        <v>25440</v>
      </c>
      <c r="AJ188" s="28">
        <v>26190</v>
      </c>
      <c r="AK188" s="28">
        <v>26220</v>
      </c>
      <c r="AL188" s="28">
        <v>26110</v>
      </c>
      <c r="AM188" s="28">
        <v>25440</v>
      </c>
      <c r="AN188" s="28">
        <v>25330</v>
      </c>
      <c r="AO188" s="28">
        <v>25290</v>
      </c>
      <c r="AP188" s="28">
        <v>25830</v>
      </c>
      <c r="AQ188" s="28">
        <v>26310</v>
      </c>
      <c r="AR188" s="28">
        <v>26310</v>
      </c>
      <c r="AS188" s="28">
        <v>27040</v>
      </c>
      <c r="AT188" s="28">
        <v>26980</v>
      </c>
      <c r="AU188" s="28">
        <v>26220</v>
      </c>
      <c r="AV188" s="28">
        <v>25610</v>
      </c>
      <c r="AW188" s="28">
        <v>24800</v>
      </c>
      <c r="AX188" s="28">
        <v>24330</v>
      </c>
      <c r="AY188" s="28">
        <v>24390</v>
      </c>
      <c r="AZ188" s="28">
        <v>24020</v>
      </c>
      <c r="BA188" s="28">
        <v>24750</v>
      </c>
      <c r="BB188" s="28">
        <v>25300</v>
      </c>
      <c r="BC188" s="28">
        <v>26080</v>
      </c>
      <c r="BD188" s="28">
        <v>26450</v>
      </c>
      <c r="BE188" s="28">
        <v>27570</v>
      </c>
      <c r="BF188" s="28">
        <v>28130</v>
      </c>
      <c r="BG188" s="28">
        <v>28690</v>
      </c>
      <c r="BH188" s="28">
        <v>30010</v>
      </c>
      <c r="BI188" s="28">
        <v>31490</v>
      </c>
      <c r="BJ188" s="28">
        <v>33090</v>
      </c>
      <c r="BK188" s="28">
        <v>35100</v>
      </c>
      <c r="BL188" s="28">
        <v>37310</v>
      </c>
    </row>
    <row r="189" spans="1:64" x14ac:dyDescent="0.2">
      <c r="A189" s="28">
        <v>79</v>
      </c>
      <c r="B189" s="80">
        <v>8220</v>
      </c>
      <c r="C189" s="80">
        <v>8550</v>
      </c>
      <c r="D189" s="80">
        <v>8580</v>
      </c>
      <c r="E189" s="80">
        <v>8610</v>
      </c>
      <c r="F189" s="80">
        <v>9030</v>
      </c>
      <c r="G189" s="80">
        <v>8850</v>
      </c>
      <c r="H189" s="80">
        <v>8550</v>
      </c>
      <c r="I189" s="80">
        <v>8780</v>
      </c>
      <c r="J189" s="80">
        <v>9060</v>
      </c>
      <c r="K189" s="80">
        <v>9260</v>
      </c>
      <c r="L189" s="28">
        <v>9800</v>
      </c>
      <c r="M189" s="28">
        <v>10260</v>
      </c>
      <c r="N189" s="28">
        <v>10640</v>
      </c>
      <c r="O189" s="28">
        <v>11970</v>
      </c>
      <c r="P189" s="28">
        <v>12870</v>
      </c>
      <c r="Q189" s="28">
        <v>13200</v>
      </c>
      <c r="R189" s="28">
        <v>12010</v>
      </c>
      <c r="S189" s="28">
        <v>13620</v>
      </c>
      <c r="T189" s="28">
        <v>14220</v>
      </c>
      <c r="U189" s="28">
        <v>15110</v>
      </c>
      <c r="V189" s="28">
        <v>18040</v>
      </c>
      <c r="W189" s="28">
        <v>18060</v>
      </c>
      <c r="X189" s="28">
        <v>18080</v>
      </c>
      <c r="Y189" s="28">
        <v>18340</v>
      </c>
      <c r="Z189" s="28">
        <v>18580</v>
      </c>
      <c r="AA189" s="28">
        <v>18870</v>
      </c>
      <c r="AB189" s="28">
        <v>19150</v>
      </c>
      <c r="AC189" s="28">
        <v>19940</v>
      </c>
      <c r="AD189" s="28">
        <v>20550</v>
      </c>
      <c r="AE189" s="28">
        <v>21390</v>
      </c>
      <c r="AF189" s="28">
        <v>22070</v>
      </c>
      <c r="AG189" s="28">
        <v>22180</v>
      </c>
      <c r="AH189" s="28">
        <v>23460</v>
      </c>
      <c r="AI189" s="28">
        <v>23960</v>
      </c>
      <c r="AJ189" s="28">
        <v>24840</v>
      </c>
      <c r="AK189" s="28">
        <v>25590</v>
      </c>
      <c r="AL189" s="28">
        <v>25640</v>
      </c>
      <c r="AM189" s="28">
        <v>25550</v>
      </c>
      <c r="AN189" s="28">
        <v>24900</v>
      </c>
      <c r="AO189" s="28">
        <v>24810</v>
      </c>
      <c r="AP189" s="28">
        <v>24780</v>
      </c>
      <c r="AQ189" s="28">
        <v>25320</v>
      </c>
      <c r="AR189" s="28">
        <v>25810</v>
      </c>
      <c r="AS189" s="28">
        <v>25820</v>
      </c>
      <c r="AT189" s="28">
        <v>26550</v>
      </c>
      <c r="AU189" s="28">
        <v>26510</v>
      </c>
      <c r="AV189" s="28">
        <v>25760</v>
      </c>
      <c r="AW189" s="28">
        <v>25180</v>
      </c>
      <c r="AX189" s="28">
        <v>24390</v>
      </c>
      <c r="AY189" s="28">
        <v>23940</v>
      </c>
      <c r="AZ189" s="28">
        <v>24000</v>
      </c>
      <c r="BA189" s="28">
        <v>23650</v>
      </c>
      <c r="BB189" s="28">
        <v>24380</v>
      </c>
      <c r="BC189" s="28">
        <v>24930</v>
      </c>
      <c r="BD189" s="28">
        <v>25710</v>
      </c>
      <c r="BE189" s="28">
        <v>26090</v>
      </c>
      <c r="BF189" s="28">
        <v>27200</v>
      </c>
      <c r="BG189" s="28">
        <v>27760</v>
      </c>
      <c r="BH189" s="28">
        <v>28320</v>
      </c>
      <c r="BI189" s="28">
        <v>29630</v>
      </c>
      <c r="BJ189" s="28">
        <v>31110</v>
      </c>
      <c r="BK189" s="28">
        <v>32690</v>
      </c>
      <c r="BL189" s="28">
        <v>34690</v>
      </c>
    </row>
    <row r="190" spans="1:64" x14ac:dyDescent="0.2">
      <c r="A190" s="28">
        <v>80</v>
      </c>
      <c r="B190" s="80">
        <v>7520</v>
      </c>
      <c r="C190" s="80">
        <v>7750</v>
      </c>
      <c r="D190" s="80">
        <v>8010</v>
      </c>
      <c r="E190" s="80">
        <v>8070</v>
      </c>
      <c r="F190" s="80">
        <v>8120</v>
      </c>
      <c r="G190" s="80">
        <v>8560</v>
      </c>
      <c r="H190" s="80">
        <v>8390</v>
      </c>
      <c r="I190" s="80">
        <v>8100</v>
      </c>
      <c r="J190" s="80">
        <v>8380</v>
      </c>
      <c r="K190" s="80">
        <v>8630</v>
      </c>
      <c r="L190" s="28">
        <v>8840</v>
      </c>
      <c r="M190" s="28">
        <v>9360</v>
      </c>
      <c r="N190" s="28">
        <v>9810</v>
      </c>
      <c r="O190" s="28">
        <v>10180</v>
      </c>
      <c r="P190" s="28">
        <v>11460</v>
      </c>
      <c r="Q190" s="28">
        <v>12330</v>
      </c>
      <c r="R190" s="28">
        <v>12660</v>
      </c>
      <c r="S190" s="28">
        <v>11530</v>
      </c>
      <c r="T190" s="28">
        <v>13090</v>
      </c>
      <c r="U190" s="28">
        <v>13680</v>
      </c>
      <c r="V190" s="28">
        <v>14540</v>
      </c>
      <c r="W190" s="28">
        <v>17380</v>
      </c>
      <c r="X190" s="28">
        <v>17410</v>
      </c>
      <c r="Y190" s="28">
        <v>17450</v>
      </c>
      <c r="Z190" s="28">
        <v>17720</v>
      </c>
      <c r="AA190" s="28">
        <v>17960</v>
      </c>
      <c r="AB190" s="28">
        <v>18250</v>
      </c>
      <c r="AC190" s="28">
        <v>18540</v>
      </c>
      <c r="AD190" s="28">
        <v>19320</v>
      </c>
      <c r="AE190" s="28">
        <v>19930</v>
      </c>
      <c r="AF190" s="28">
        <v>20750</v>
      </c>
      <c r="AG190" s="28">
        <v>21430</v>
      </c>
      <c r="AH190" s="28">
        <v>21550</v>
      </c>
      <c r="AI190" s="28">
        <v>22800</v>
      </c>
      <c r="AJ190" s="28">
        <v>23310</v>
      </c>
      <c r="AK190" s="28">
        <v>24190</v>
      </c>
      <c r="AL190" s="28">
        <v>24930</v>
      </c>
      <c r="AM190" s="28">
        <v>24990</v>
      </c>
      <c r="AN190" s="28">
        <v>24920</v>
      </c>
      <c r="AO190" s="28">
        <v>24300</v>
      </c>
      <c r="AP190" s="28">
        <v>24230</v>
      </c>
      <c r="AQ190" s="28">
        <v>24210</v>
      </c>
      <c r="AR190" s="28">
        <v>24750</v>
      </c>
      <c r="AS190" s="28">
        <v>25240</v>
      </c>
      <c r="AT190" s="28">
        <v>25260</v>
      </c>
      <c r="AU190" s="28">
        <v>25990</v>
      </c>
      <c r="AV190" s="28">
        <v>25960</v>
      </c>
      <c r="AW190" s="28">
        <v>25250</v>
      </c>
      <c r="AX190" s="28">
        <v>24690</v>
      </c>
      <c r="AY190" s="28">
        <v>23920</v>
      </c>
      <c r="AZ190" s="28">
        <v>23490</v>
      </c>
      <c r="BA190" s="28">
        <v>23570</v>
      </c>
      <c r="BB190" s="28">
        <v>23230</v>
      </c>
      <c r="BC190" s="28">
        <v>23960</v>
      </c>
      <c r="BD190" s="28">
        <v>24510</v>
      </c>
      <c r="BE190" s="28">
        <v>25290</v>
      </c>
      <c r="BF190" s="28">
        <v>25660</v>
      </c>
      <c r="BG190" s="28">
        <v>26770</v>
      </c>
      <c r="BH190" s="28">
        <v>27330</v>
      </c>
      <c r="BI190" s="28">
        <v>27890</v>
      </c>
      <c r="BJ190" s="28">
        <v>29190</v>
      </c>
      <c r="BK190" s="28">
        <v>30660</v>
      </c>
      <c r="BL190" s="28">
        <v>32230</v>
      </c>
    </row>
    <row r="191" spans="1:64" x14ac:dyDescent="0.2">
      <c r="A191" s="28">
        <v>81</v>
      </c>
      <c r="B191" s="80">
        <v>6900</v>
      </c>
      <c r="C191" s="80">
        <v>6990</v>
      </c>
      <c r="D191" s="80">
        <v>7210</v>
      </c>
      <c r="E191" s="80">
        <v>7500</v>
      </c>
      <c r="F191" s="80">
        <v>7560</v>
      </c>
      <c r="G191" s="80">
        <v>7650</v>
      </c>
      <c r="H191" s="80">
        <v>8040</v>
      </c>
      <c r="I191" s="80">
        <v>7900</v>
      </c>
      <c r="J191" s="80">
        <v>7660</v>
      </c>
      <c r="K191" s="80">
        <v>7960</v>
      </c>
      <c r="L191" s="28">
        <v>8200</v>
      </c>
      <c r="M191" s="28">
        <v>8390</v>
      </c>
      <c r="N191" s="28">
        <v>8890</v>
      </c>
      <c r="O191" s="28">
        <v>9330</v>
      </c>
      <c r="P191" s="28">
        <v>9690</v>
      </c>
      <c r="Q191" s="28">
        <v>10920</v>
      </c>
      <c r="R191" s="28">
        <v>11760</v>
      </c>
      <c r="S191" s="28">
        <v>12080</v>
      </c>
      <c r="T191" s="28">
        <v>11020</v>
      </c>
      <c r="U191" s="28">
        <v>12520</v>
      </c>
      <c r="V191" s="28">
        <v>13090</v>
      </c>
      <c r="W191" s="28">
        <v>13930</v>
      </c>
      <c r="X191" s="28">
        <v>16660</v>
      </c>
      <c r="Y191" s="28">
        <v>16710</v>
      </c>
      <c r="Z191" s="28">
        <v>16760</v>
      </c>
      <c r="AA191" s="28">
        <v>17030</v>
      </c>
      <c r="AB191" s="28">
        <v>17280</v>
      </c>
      <c r="AC191" s="28">
        <v>17580</v>
      </c>
      <c r="AD191" s="28">
        <v>17870</v>
      </c>
      <c r="AE191" s="28">
        <v>18640</v>
      </c>
      <c r="AF191" s="28">
        <v>19240</v>
      </c>
      <c r="AG191" s="28">
        <v>20050</v>
      </c>
      <c r="AH191" s="28">
        <v>20720</v>
      </c>
      <c r="AI191" s="28">
        <v>20850</v>
      </c>
      <c r="AJ191" s="28">
        <v>22080</v>
      </c>
      <c r="AK191" s="28">
        <v>22580</v>
      </c>
      <c r="AL191" s="28">
        <v>23450</v>
      </c>
      <c r="AM191" s="28">
        <v>24190</v>
      </c>
      <c r="AN191" s="28">
        <v>24260</v>
      </c>
      <c r="AO191" s="28">
        <v>24210</v>
      </c>
      <c r="AP191" s="28">
        <v>23630</v>
      </c>
      <c r="AQ191" s="28">
        <v>23570</v>
      </c>
      <c r="AR191" s="28">
        <v>23570</v>
      </c>
      <c r="AS191" s="28">
        <v>24110</v>
      </c>
      <c r="AT191" s="28">
        <v>24600</v>
      </c>
      <c r="AU191" s="28">
        <v>24640</v>
      </c>
      <c r="AV191" s="28">
        <v>25360</v>
      </c>
      <c r="AW191" s="28">
        <v>25340</v>
      </c>
      <c r="AX191" s="28">
        <v>24660</v>
      </c>
      <c r="AY191" s="28">
        <v>24130</v>
      </c>
      <c r="AZ191" s="28">
        <v>23390</v>
      </c>
      <c r="BA191" s="28">
        <v>22980</v>
      </c>
      <c r="BB191" s="28">
        <v>23070</v>
      </c>
      <c r="BC191" s="28">
        <v>22750</v>
      </c>
      <c r="BD191" s="28">
        <v>23470</v>
      </c>
      <c r="BE191" s="28">
        <v>24020</v>
      </c>
      <c r="BF191" s="28">
        <v>24800</v>
      </c>
      <c r="BG191" s="28">
        <v>25180</v>
      </c>
      <c r="BH191" s="28">
        <v>26270</v>
      </c>
      <c r="BI191" s="28">
        <v>26840</v>
      </c>
      <c r="BJ191" s="28">
        <v>27400</v>
      </c>
      <c r="BK191" s="28">
        <v>28690</v>
      </c>
      <c r="BL191" s="28">
        <v>30140</v>
      </c>
    </row>
    <row r="192" spans="1:64" x14ac:dyDescent="0.2">
      <c r="A192" s="28">
        <v>82</v>
      </c>
      <c r="B192" s="80">
        <v>5900</v>
      </c>
      <c r="C192" s="80">
        <v>6400</v>
      </c>
      <c r="D192" s="80">
        <v>6460</v>
      </c>
      <c r="E192" s="80">
        <v>6720</v>
      </c>
      <c r="F192" s="80">
        <v>6960</v>
      </c>
      <c r="G192" s="80">
        <v>7040</v>
      </c>
      <c r="H192" s="80">
        <v>7130</v>
      </c>
      <c r="I192" s="80">
        <v>7540</v>
      </c>
      <c r="J192" s="80">
        <v>7420</v>
      </c>
      <c r="K192" s="80">
        <v>7160</v>
      </c>
      <c r="L192" s="28">
        <v>7510</v>
      </c>
      <c r="M192" s="28">
        <v>7720</v>
      </c>
      <c r="N192" s="28">
        <v>7910</v>
      </c>
      <c r="O192" s="28">
        <v>8390</v>
      </c>
      <c r="P192" s="28">
        <v>8810</v>
      </c>
      <c r="Q192" s="28">
        <v>9160</v>
      </c>
      <c r="R192" s="28">
        <v>10330</v>
      </c>
      <c r="S192" s="28">
        <v>11140</v>
      </c>
      <c r="T192" s="28">
        <v>11460</v>
      </c>
      <c r="U192" s="28">
        <v>10460</v>
      </c>
      <c r="V192" s="28">
        <v>11900</v>
      </c>
      <c r="W192" s="28">
        <v>12460</v>
      </c>
      <c r="X192" s="28">
        <v>13270</v>
      </c>
      <c r="Y192" s="28">
        <v>15890</v>
      </c>
      <c r="Z192" s="28">
        <v>15950</v>
      </c>
      <c r="AA192" s="28">
        <v>16020</v>
      </c>
      <c r="AB192" s="28">
        <v>16290</v>
      </c>
      <c r="AC192" s="28">
        <v>16540</v>
      </c>
      <c r="AD192" s="28">
        <v>16840</v>
      </c>
      <c r="AE192" s="28">
        <v>17140</v>
      </c>
      <c r="AF192" s="28">
        <v>17890</v>
      </c>
      <c r="AG192" s="28">
        <v>18480</v>
      </c>
      <c r="AH192" s="28">
        <v>19280</v>
      </c>
      <c r="AI192" s="28">
        <v>19930</v>
      </c>
      <c r="AJ192" s="28">
        <v>20070</v>
      </c>
      <c r="AK192" s="28">
        <v>21280</v>
      </c>
      <c r="AL192" s="28">
        <v>21780</v>
      </c>
      <c r="AM192" s="28">
        <v>22630</v>
      </c>
      <c r="AN192" s="28">
        <v>23360</v>
      </c>
      <c r="AO192" s="28">
        <v>23450</v>
      </c>
      <c r="AP192" s="28">
        <v>23410</v>
      </c>
      <c r="AQ192" s="28">
        <v>22870</v>
      </c>
      <c r="AR192" s="28">
        <v>22830</v>
      </c>
      <c r="AS192" s="28">
        <v>22840</v>
      </c>
      <c r="AT192" s="28">
        <v>23380</v>
      </c>
      <c r="AU192" s="28">
        <v>23870</v>
      </c>
      <c r="AV192" s="28">
        <v>23920</v>
      </c>
      <c r="AW192" s="28">
        <v>24640</v>
      </c>
      <c r="AX192" s="28">
        <v>24640</v>
      </c>
      <c r="AY192" s="28">
        <v>23990</v>
      </c>
      <c r="AZ192" s="28">
        <v>23480</v>
      </c>
      <c r="BA192" s="28">
        <v>22780</v>
      </c>
      <c r="BB192" s="28">
        <v>22390</v>
      </c>
      <c r="BC192" s="28">
        <v>22490</v>
      </c>
      <c r="BD192" s="28">
        <v>22190</v>
      </c>
      <c r="BE192" s="28">
        <v>22910</v>
      </c>
      <c r="BF192" s="28">
        <v>23450</v>
      </c>
      <c r="BG192" s="28">
        <v>24230</v>
      </c>
      <c r="BH192" s="28">
        <v>24610</v>
      </c>
      <c r="BI192" s="28">
        <v>25690</v>
      </c>
      <c r="BJ192" s="28">
        <v>26260</v>
      </c>
      <c r="BK192" s="28">
        <v>26820</v>
      </c>
      <c r="BL192" s="28">
        <v>28090</v>
      </c>
    </row>
    <row r="193" spans="1:64" x14ac:dyDescent="0.2">
      <c r="A193" s="28">
        <v>83</v>
      </c>
      <c r="B193" s="80">
        <v>5210</v>
      </c>
      <c r="C193" s="80">
        <v>5440</v>
      </c>
      <c r="D193" s="80">
        <v>5830</v>
      </c>
      <c r="E193" s="80">
        <v>5940</v>
      </c>
      <c r="F193" s="80">
        <v>6210</v>
      </c>
      <c r="G193" s="80">
        <v>6400</v>
      </c>
      <c r="H193" s="80">
        <v>6540</v>
      </c>
      <c r="I193" s="80">
        <v>6570</v>
      </c>
      <c r="J193" s="80">
        <v>7030</v>
      </c>
      <c r="K193" s="80">
        <v>6940</v>
      </c>
      <c r="L193" s="28">
        <v>6690</v>
      </c>
      <c r="M193" s="28">
        <v>7010</v>
      </c>
      <c r="N193" s="28">
        <v>7220</v>
      </c>
      <c r="O193" s="28">
        <v>7400</v>
      </c>
      <c r="P193" s="28">
        <v>7860</v>
      </c>
      <c r="Q193" s="28">
        <v>8260</v>
      </c>
      <c r="R193" s="28">
        <v>8600</v>
      </c>
      <c r="S193" s="28">
        <v>9710</v>
      </c>
      <c r="T193" s="28">
        <v>10480</v>
      </c>
      <c r="U193" s="28">
        <v>10800</v>
      </c>
      <c r="V193" s="28">
        <v>9870</v>
      </c>
      <c r="W193" s="28">
        <v>11240</v>
      </c>
      <c r="X193" s="28">
        <v>11780</v>
      </c>
      <c r="Y193" s="28">
        <v>12560</v>
      </c>
      <c r="Z193" s="28">
        <v>15050</v>
      </c>
      <c r="AA193" s="28">
        <v>15120</v>
      </c>
      <c r="AB193" s="28">
        <v>15200</v>
      </c>
      <c r="AC193" s="28">
        <v>15480</v>
      </c>
      <c r="AD193" s="28">
        <v>15730</v>
      </c>
      <c r="AE193" s="28">
        <v>16030</v>
      </c>
      <c r="AF193" s="28">
        <v>16330</v>
      </c>
      <c r="AG193" s="28">
        <v>17060</v>
      </c>
      <c r="AH193" s="28">
        <v>17640</v>
      </c>
      <c r="AI193" s="28">
        <v>18420</v>
      </c>
      <c r="AJ193" s="28">
        <v>19070</v>
      </c>
      <c r="AK193" s="28">
        <v>19220</v>
      </c>
      <c r="AL193" s="28">
        <v>20390</v>
      </c>
      <c r="AM193" s="28">
        <v>20880</v>
      </c>
      <c r="AN193" s="28">
        <v>21720</v>
      </c>
      <c r="AO193" s="28">
        <v>22440</v>
      </c>
      <c r="AP193" s="28">
        <v>22540</v>
      </c>
      <c r="AQ193" s="28">
        <v>22520</v>
      </c>
      <c r="AR193" s="28">
        <v>22010</v>
      </c>
      <c r="AS193" s="28">
        <v>21990</v>
      </c>
      <c r="AT193" s="28">
        <v>22020</v>
      </c>
      <c r="AU193" s="28">
        <v>22560</v>
      </c>
      <c r="AV193" s="28">
        <v>23050</v>
      </c>
      <c r="AW193" s="28">
        <v>23110</v>
      </c>
      <c r="AX193" s="28">
        <v>23820</v>
      </c>
      <c r="AY193" s="28">
        <v>23840</v>
      </c>
      <c r="AZ193" s="28">
        <v>23220</v>
      </c>
      <c r="BA193" s="28">
        <v>22750</v>
      </c>
      <c r="BB193" s="28">
        <v>22080</v>
      </c>
      <c r="BC193" s="28">
        <v>21720</v>
      </c>
      <c r="BD193" s="28">
        <v>21820</v>
      </c>
      <c r="BE193" s="28">
        <v>21540</v>
      </c>
      <c r="BF193" s="28">
        <v>22250</v>
      </c>
      <c r="BG193" s="28">
        <v>22800</v>
      </c>
      <c r="BH193" s="28">
        <v>23560</v>
      </c>
      <c r="BI193" s="28">
        <v>23950</v>
      </c>
      <c r="BJ193" s="28">
        <v>25010</v>
      </c>
      <c r="BK193" s="28">
        <v>25580</v>
      </c>
      <c r="BL193" s="28">
        <v>26140</v>
      </c>
    </row>
    <row r="194" spans="1:64" x14ac:dyDescent="0.2">
      <c r="A194" s="28">
        <v>84</v>
      </c>
      <c r="B194" s="80">
        <v>4650</v>
      </c>
      <c r="C194" s="80">
        <v>4730</v>
      </c>
      <c r="D194" s="80">
        <v>4950</v>
      </c>
      <c r="E194" s="80">
        <v>5290</v>
      </c>
      <c r="F194" s="80">
        <v>5380</v>
      </c>
      <c r="G194" s="80">
        <v>5700</v>
      </c>
      <c r="H194" s="80">
        <v>5860</v>
      </c>
      <c r="I194" s="80">
        <v>6000</v>
      </c>
      <c r="J194" s="80">
        <v>6020</v>
      </c>
      <c r="K194" s="80">
        <v>6520</v>
      </c>
      <c r="L194" s="28">
        <v>6420</v>
      </c>
      <c r="M194" s="28">
        <v>6180</v>
      </c>
      <c r="N194" s="28">
        <v>6490</v>
      </c>
      <c r="O194" s="28">
        <v>6690</v>
      </c>
      <c r="P194" s="28">
        <v>6870</v>
      </c>
      <c r="Q194" s="28">
        <v>7300</v>
      </c>
      <c r="R194" s="28">
        <v>7680</v>
      </c>
      <c r="S194" s="28">
        <v>8010</v>
      </c>
      <c r="T194" s="28">
        <v>9060</v>
      </c>
      <c r="U194" s="28">
        <v>9790</v>
      </c>
      <c r="V194" s="28">
        <v>10090</v>
      </c>
      <c r="W194" s="28">
        <v>9230</v>
      </c>
      <c r="X194" s="28">
        <v>10530</v>
      </c>
      <c r="Y194" s="28">
        <v>11050</v>
      </c>
      <c r="Z194" s="28">
        <v>11790</v>
      </c>
      <c r="AA194" s="28">
        <v>14150</v>
      </c>
      <c r="AB194" s="28">
        <v>14230</v>
      </c>
      <c r="AC194" s="28">
        <v>14320</v>
      </c>
      <c r="AD194" s="28">
        <v>14600</v>
      </c>
      <c r="AE194" s="28">
        <v>14860</v>
      </c>
      <c r="AF194" s="28">
        <v>15150</v>
      </c>
      <c r="AG194" s="28">
        <v>15450</v>
      </c>
      <c r="AH194" s="28">
        <v>16160</v>
      </c>
      <c r="AI194" s="28">
        <v>16730</v>
      </c>
      <c r="AJ194" s="28">
        <v>17480</v>
      </c>
      <c r="AK194" s="28">
        <v>18110</v>
      </c>
      <c r="AL194" s="28">
        <v>18270</v>
      </c>
      <c r="AM194" s="28">
        <v>19400</v>
      </c>
      <c r="AN194" s="28">
        <v>19890</v>
      </c>
      <c r="AO194" s="28">
        <v>20710</v>
      </c>
      <c r="AP194" s="28">
        <v>21410</v>
      </c>
      <c r="AQ194" s="28">
        <v>21520</v>
      </c>
      <c r="AR194" s="28">
        <v>21520</v>
      </c>
      <c r="AS194" s="28">
        <v>21050</v>
      </c>
      <c r="AT194" s="28">
        <v>21050</v>
      </c>
      <c r="AU194" s="28">
        <v>21090</v>
      </c>
      <c r="AV194" s="28">
        <v>21630</v>
      </c>
      <c r="AW194" s="28">
        <v>22110</v>
      </c>
      <c r="AX194" s="28">
        <v>22190</v>
      </c>
      <c r="AY194" s="28">
        <v>22890</v>
      </c>
      <c r="AZ194" s="28">
        <v>22920</v>
      </c>
      <c r="BA194" s="28">
        <v>22350</v>
      </c>
      <c r="BB194" s="28">
        <v>21900</v>
      </c>
      <c r="BC194" s="28">
        <v>21280</v>
      </c>
      <c r="BD194" s="28">
        <v>20940</v>
      </c>
      <c r="BE194" s="28">
        <v>21060</v>
      </c>
      <c r="BF194" s="28">
        <v>20800</v>
      </c>
      <c r="BG194" s="28">
        <v>21500</v>
      </c>
      <c r="BH194" s="28">
        <v>22040</v>
      </c>
      <c r="BI194" s="28">
        <v>22790</v>
      </c>
      <c r="BJ194" s="28">
        <v>23180</v>
      </c>
      <c r="BK194" s="28">
        <v>24220</v>
      </c>
      <c r="BL194" s="28">
        <v>24790</v>
      </c>
    </row>
    <row r="195" spans="1:64" x14ac:dyDescent="0.2">
      <c r="A195" s="28">
        <v>85</v>
      </c>
      <c r="B195" s="80">
        <v>3850</v>
      </c>
      <c r="C195" s="80">
        <v>4140</v>
      </c>
      <c r="D195" s="80">
        <v>4250</v>
      </c>
      <c r="E195" s="80">
        <v>4440</v>
      </c>
      <c r="F195" s="80">
        <v>4760</v>
      </c>
      <c r="G195" s="80">
        <v>4830</v>
      </c>
      <c r="H195" s="80">
        <v>5160</v>
      </c>
      <c r="I195" s="80">
        <v>5280</v>
      </c>
      <c r="J195" s="80">
        <v>5470</v>
      </c>
      <c r="K195" s="80">
        <v>5510</v>
      </c>
      <c r="L195" s="28">
        <v>5970</v>
      </c>
      <c r="M195" s="28">
        <v>5870</v>
      </c>
      <c r="N195" s="28">
        <v>5660</v>
      </c>
      <c r="O195" s="28">
        <v>5950</v>
      </c>
      <c r="P195" s="28">
        <v>6140</v>
      </c>
      <c r="Q195" s="28">
        <v>6310</v>
      </c>
      <c r="R195" s="28">
        <v>6710</v>
      </c>
      <c r="S195" s="28">
        <v>7080</v>
      </c>
      <c r="T195" s="28">
        <v>7390</v>
      </c>
      <c r="U195" s="28">
        <v>8360</v>
      </c>
      <c r="V195" s="28">
        <v>9050</v>
      </c>
      <c r="W195" s="28">
        <v>9350</v>
      </c>
      <c r="X195" s="28">
        <v>8560</v>
      </c>
      <c r="Y195" s="28">
        <v>9770</v>
      </c>
      <c r="Z195" s="28">
        <v>10270</v>
      </c>
      <c r="AA195" s="28">
        <v>10980</v>
      </c>
      <c r="AB195" s="28">
        <v>13180</v>
      </c>
      <c r="AC195" s="28">
        <v>13280</v>
      </c>
      <c r="AD195" s="28">
        <v>13380</v>
      </c>
      <c r="AE195" s="28">
        <v>13650</v>
      </c>
      <c r="AF195" s="28">
        <v>13910</v>
      </c>
      <c r="AG195" s="28">
        <v>14200</v>
      </c>
      <c r="AH195" s="28">
        <v>14500</v>
      </c>
      <c r="AI195" s="28">
        <v>15180</v>
      </c>
      <c r="AJ195" s="28">
        <v>15720</v>
      </c>
      <c r="AK195" s="28">
        <v>16450</v>
      </c>
      <c r="AL195" s="28">
        <v>17060</v>
      </c>
      <c r="AM195" s="28">
        <v>17230</v>
      </c>
      <c r="AN195" s="28">
        <v>18310</v>
      </c>
      <c r="AO195" s="28">
        <v>18790</v>
      </c>
      <c r="AP195" s="28">
        <v>19580</v>
      </c>
      <c r="AQ195" s="28">
        <v>20260</v>
      </c>
      <c r="AR195" s="28">
        <v>20390</v>
      </c>
      <c r="AS195" s="28">
        <v>20410</v>
      </c>
      <c r="AT195" s="28">
        <v>19980</v>
      </c>
      <c r="AU195" s="28">
        <v>20000</v>
      </c>
      <c r="AV195" s="28">
        <v>20050</v>
      </c>
      <c r="AW195" s="28">
        <v>20580</v>
      </c>
      <c r="AX195" s="28">
        <v>21060</v>
      </c>
      <c r="AY195" s="28">
        <v>21150</v>
      </c>
      <c r="AZ195" s="28">
        <v>21830</v>
      </c>
      <c r="BA195" s="28">
        <v>21880</v>
      </c>
      <c r="BB195" s="28">
        <v>21350</v>
      </c>
      <c r="BC195" s="28">
        <v>20940</v>
      </c>
      <c r="BD195" s="28">
        <v>20360</v>
      </c>
      <c r="BE195" s="28">
        <v>20050</v>
      </c>
      <c r="BF195" s="28">
        <v>20180</v>
      </c>
      <c r="BG195" s="28">
        <v>19950</v>
      </c>
      <c r="BH195" s="28">
        <v>20630</v>
      </c>
      <c r="BI195" s="28">
        <v>21160</v>
      </c>
      <c r="BJ195" s="28">
        <v>21900</v>
      </c>
      <c r="BK195" s="28">
        <v>22290</v>
      </c>
      <c r="BL195" s="28">
        <v>23310</v>
      </c>
    </row>
    <row r="196" spans="1:64" x14ac:dyDescent="0.2">
      <c r="A196" s="28">
        <v>86</v>
      </c>
      <c r="B196" s="80">
        <v>3290</v>
      </c>
      <c r="C196" s="80">
        <v>3420</v>
      </c>
      <c r="D196" s="80">
        <v>3640</v>
      </c>
      <c r="E196" s="80">
        <v>3790</v>
      </c>
      <c r="F196" s="80">
        <v>3970</v>
      </c>
      <c r="G196" s="80">
        <v>4250</v>
      </c>
      <c r="H196" s="80">
        <v>4310</v>
      </c>
      <c r="I196" s="80">
        <v>4610</v>
      </c>
      <c r="J196" s="80">
        <v>4750</v>
      </c>
      <c r="K196" s="80">
        <v>4910</v>
      </c>
      <c r="L196" s="28">
        <v>4980</v>
      </c>
      <c r="M196" s="28">
        <v>5390</v>
      </c>
      <c r="N196" s="28">
        <v>5300</v>
      </c>
      <c r="O196" s="28">
        <v>5120</v>
      </c>
      <c r="P196" s="28">
        <v>5390</v>
      </c>
      <c r="Q196" s="28">
        <v>5570</v>
      </c>
      <c r="R196" s="28">
        <v>5730</v>
      </c>
      <c r="S196" s="28">
        <v>6110</v>
      </c>
      <c r="T196" s="28">
        <v>6450</v>
      </c>
      <c r="U196" s="28">
        <v>6740</v>
      </c>
      <c r="V196" s="28">
        <v>7640</v>
      </c>
      <c r="W196" s="28">
        <v>8280</v>
      </c>
      <c r="X196" s="28">
        <v>8560</v>
      </c>
      <c r="Y196" s="28">
        <v>7860</v>
      </c>
      <c r="Z196" s="28">
        <v>8980</v>
      </c>
      <c r="AA196" s="28">
        <v>9450</v>
      </c>
      <c r="AB196" s="28">
        <v>10110</v>
      </c>
      <c r="AC196" s="28">
        <v>12160</v>
      </c>
      <c r="AD196" s="28">
        <v>12260</v>
      </c>
      <c r="AE196" s="28">
        <v>12370</v>
      </c>
      <c r="AF196" s="28">
        <v>12630</v>
      </c>
      <c r="AG196" s="28">
        <v>12880</v>
      </c>
      <c r="AH196" s="28">
        <v>13170</v>
      </c>
      <c r="AI196" s="28">
        <v>13460</v>
      </c>
      <c r="AJ196" s="28">
        <v>14110</v>
      </c>
      <c r="AK196" s="28">
        <v>14640</v>
      </c>
      <c r="AL196" s="28">
        <v>15330</v>
      </c>
      <c r="AM196" s="28">
        <v>15910</v>
      </c>
      <c r="AN196" s="28">
        <v>16080</v>
      </c>
      <c r="AO196" s="28">
        <v>17110</v>
      </c>
      <c r="AP196" s="28">
        <v>17580</v>
      </c>
      <c r="AQ196" s="28">
        <v>18340</v>
      </c>
      <c r="AR196" s="28">
        <v>19000</v>
      </c>
      <c r="AS196" s="28">
        <v>19140</v>
      </c>
      <c r="AT196" s="28">
        <v>19170</v>
      </c>
      <c r="AU196" s="28">
        <v>18790</v>
      </c>
      <c r="AV196" s="28">
        <v>18820</v>
      </c>
      <c r="AW196" s="28">
        <v>18890</v>
      </c>
      <c r="AX196" s="28">
        <v>19400</v>
      </c>
      <c r="AY196" s="28">
        <v>19870</v>
      </c>
      <c r="AZ196" s="28">
        <v>19980</v>
      </c>
      <c r="BA196" s="28">
        <v>20640</v>
      </c>
      <c r="BB196" s="28">
        <v>20700</v>
      </c>
      <c r="BC196" s="28">
        <v>20220</v>
      </c>
      <c r="BD196" s="28">
        <v>19850</v>
      </c>
      <c r="BE196" s="28">
        <v>19310</v>
      </c>
      <c r="BF196" s="28">
        <v>19030</v>
      </c>
      <c r="BG196" s="28">
        <v>19170</v>
      </c>
      <c r="BH196" s="28">
        <v>18960</v>
      </c>
      <c r="BI196" s="28">
        <v>19630</v>
      </c>
      <c r="BJ196" s="28">
        <v>20150</v>
      </c>
      <c r="BK196" s="28">
        <v>20870</v>
      </c>
      <c r="BL196" s="28">
        <v>21250</v>
      </c>
    </row>
    <row r="197" spans="1:64" x14ac:dyDescent="0.2">
      <c r="A197" s="28">
        <v>87</v>
      </c>
      <c r="B197" s="80">
        <v>2380</v>
      </c>
      <c r="C197" s="80">
        <v>2850</v>
      </c>
      <c r="D197" s="80">
        <v>2980</v>
      </c>
      <c r="E197" s="80">
        <v>3200</v>
      </c>
      <c r="F197" s="80">
        <v>3330</v>
      </c>
      <c r="G197" s="80">
        <v>3480</v>
      </c>
      <c r="H197" s="80">
        <v>3760</v>
      </c>
      <c r="I197" s="80">
        <v>3760</v>
      </c>
      <c r="J197" s="80">
        <v>4090</v>
      </c>
      <c r="K197" s="80">
        <v>4180</v>
      </c>
      <c r="L197" s="28">
        <v>4390</v>
      </c>
      <c r="M197" s="28">
        <v>4430</v>
      </c>
      <c r="N197" s="28">
        <v>4800</v>
      </c>
      <c r="O197" s="28">
        <v>4730</v>
      </c>
      <c r="P197" s="28">
        <v>4580</v>
      </c>
      <c r="Q197" s="28">
        <v>4820</v>
      </c>
      <c r="R197" s="28">
        <v>4990</v>
      </c>
      <c r="S197" s="28">
        <v>5150</v>
      </c>
      <c r="T197" s="28">
        <v>5490</v>
      </c>
      <c r="U197" s="28">
        <v>5810</v>
      </c>
      <c r="V197" s="28">
        <v>6080</v>
      </c>
      <c r="W197" s="28">
        <v>6900</v>
      </c>
      <c r="X197" s="28">
        <v>7490</v>
      </c>
      <c r="Y197" s="28">
        <v>7750</v>
      </c>
      <c r="Z197" s="28">
        <v>7120</v>
      </c>
      <c r="AA197" s="28">
        <v>8150</v>
      </c>
      <c r="AB197" s="28">
        <v>8590</v>
      </c>
      <c r="AC197" s="28">
        <v>9200</v>
      </c>
      <c r="AD197" s="28">
        <v>11080</v>
      </c>
      <c r="AE197" s="28">
        <v>11190</v>
      </c>
      <c r="AF197" s="28">
        <v>11300</v>
      </c>
      <c r="AG197" s="28">
        <v>11550</v>
      </c>
      <c r="AH197" s="28">
        <v>11800</v>
      </c>
      <c r="AI197" s="28">
        <v>12080</v>
      </c>
      <c r="AJ197" s="28">
        <v>12360</v>
      </c>
      <c r="AK197" s="28">
        <v>12970</v>
      </c>
      <c r="AL197" s="28">
        <v>13470</v>
      </c>
      <c r="AM197" s="28">
        <v>14120</v>
      </c>
      <c r="AN197" s="28">
        <v>14670</v>
      </c>
      <c r="AO197" s="28">
        <v>14850</v>
      </c>
      <c r="AP197" s="28">
        <v>15820</v>
      </c>
      <c r="AQ197" s="28">
        <v>16270</v>
      </c>
      <c r="AR197" s="28">
        <v>16980</v>
      </c>
      <c r="AS197" s="28">
        <v>17610</v>
      </c>
      <c r="AT197" s="28">
        <v>17760</v>
      </c>
      <c r="AU197" s="28">
        <v>17810</v>
      </c>
      <c r="AV197" s="28">
        <v>17470</v>
      </c>
      <c r="AW197" s="28">
        <v>17520</v>
      </c>
      <c r="AX197" s="28">
        <v>17600</v>
      </c>
      <c r="AY197" s="28">
        <v>18100</v>
      </c>
      <c r="AZ197" s="28">
        <v>18550</v>
      </c>
      <c r="BA197" s="28">
        <v>18670</v>
      </c>
      <c r="BB197" s="28">
        <v>19310</v>
      </c>
      <c r="BC197" s="28">
        <v>19380</v>
      </c>
      <c r="BD197" s="28">
        <v>18940</v>
      </c>
      <c r="BE197" s="28">
        <v>18620</v>
      </c>
      <c r="BF197" s="28">
        <v>18130</v>
      </c>
      <c r="BG197" s="28">
        <v>17880</v>
      </c>
      <c r="BH197" s="28">
        <v>18020</v>
      </c>
      <c r="BI197" s="28">
        <v>17850</v>
      </c>
      <c r="BJ197" s="28">
        <v>18490</v>
      </c>
      <c r="BK197" s="28">
        <v>19000</v>
      </c>
      <c r="BL197" s="28">
        <v>19690</v>
      </c>
    </row>
    <row r="198" spans="1:64" x14ac:dyDescent="0.2">
      <c r="A198" s="28">
        <v>88</v>
      </c>
      <c r="B198" s="80">
        <v>1930</v>
      </c>
      <c r="C198" s="80">
        <v>2020</v>
      </c>
      <c r="D198" s="80">
        <v>2480</v>
      </c>
      <c r="E198" s="80">
        <v>2590</v>
      </c>
      <c r="F198" s="80">
        <v>2790</v>
      </c>
      <c r="G198" s="80">
        <v>2920</v>
      </c>
      <c r="H198" s="80">
        <v>2990</v>
      </c>
      <c r="I198" s="80">
        <v>3210</v>
      </c>
      <c r="J198" s="80">
        <v>3310</v>
      </c>
      <c r="K198" s="80">
        <v>3550</v>
      </c>
      <c r="L198" s="28">
        <v>3700</v>
      </c>
      <c r="M198" s="28">
        <v>3850</v>
      </c>
      <c r="N198" s="28">
        <v>3890</v>
      </c>
      <c r="O198" s="28">
        <v>4220</v>
      </c>
      <c r="P198" s="28">
        <v>4160</v>
      </c>
      <c r="Q198" s="28">
        <v>4030</v>
      </c>
      <c r="R198" s="28">
        <v>4260</v>
      </c>
      <c r="S198" s="28">
        <v>4410</v>
      </c>
      <c r="T198" s="28">
        <v>4550</v>
      </c>
      <c r="U198" s="28">
        <v>4870</v>
      </c>
      <c r="V198" s="28">
        <v>5150</v>
      </c>
      <c r="W198" s="28">
        <v>5400</v>
      </c>
      <c r="X198" s="28">
        <v>6140</v>
      </c>
      <c r="Y198" s="28">
        <v>6670</v>
      </c>
      <c r="Z198" s="28">
        <v>6920</v>
      </c>
      <c r="AA198" s="28">
        <v>6370</v>
      </c>
      <c r="AB198" s="28">
        <v>7300</v>
      </c>
      <c r="AC198" s="28">
        <v>7700</v>
      </c>
      <c r="AD198" s="28">
        <v>8260</v>
      </c>
      <c r="AE198" s="28">
        <v>9950</v>
      </c>
      <c r="AF198" s="28">
        <v>10060</v>
      </c>
      <c r="AG198" s="28">
        <v>10180</v>
      </c>
      <c r="AH198" s="28">
        <v>10420</v>
      </c>
      <c r="AI198" s="28">
        <v>10660</v>
      </c>
      <c r="AJ198" s="28">
        <v>10920</v>
      </c>
      <c r="AK198" s="28">
        <v>11190</v>
      </c>
      <c r="AL198" s="28">
        <v>11760</v>
      </c>
      <c r="AM198" s="28">
        <v>12220</v>
      </c>
      <c r="AN198" s="28">
        <v>12830</v>
      </c>
      <c r="AO198" s="28">
        <v>13350</v>
      </c>
      <c r="AP198" s="28">
        <v>13530</v>
      </c>
      <c r="AQ198" s="28">
        <v>14420</v>
      </c>
      <c r="AR198" s="28">
        <v>14850</v>
      </c>
      <c r="AS198" s="28">
        <v>15520</v>
      </c>
      <c r="AT198" s="28">
        <v>16110</v>
      </c>
      <c r="AU198" s="28">
        <v>16270</v>
      </c>
      <c r="AV198" s="28">
        <v>16330</v>
      </c>
      <c r="AW198" s="28">
        <v>16040</v>
      </c>
      <c r="AX198" s="28">
        <v>16100</v>
      </c>
      <c r="AY198" s="28">
        <v>16190</v>
      </c>
      <c r="AZ198" s="28">
        <v>16660</v>
      </c>
      <c r="BA198" s="28">
        <v>17100</v>
      </c>
      <c r="BB198" s="28">
        <v>17220</v>
      </c>
      <c r="BC198" s="28">
        <v>17830</v>
      </c>
      <c r="BD198" s="28">
        <v>17920</v>
      </c>
      <c r="BE198" s="28">
        <v>17530</v>
      </c>
      <c r="BF198" s="28">
        <v>17240</v>
      </c>
      <c r="BG198" s="28">
        <v>16810</v>
      </c>
      <c r="BH198" s="28">
        <v>16590</v>
      </c>
      <c r="BI198" s="28">
        <v>16740</v>
      </c>
      <c r="BJ198" s="28">
        <v>16590</v>
      </c>
      <c r="BK198" s="28">
        <v>17210</v>
      </c>
      <c r="BL198" s="28">
        <v>17690</v>
      </c>
    </row>
    <row r="199" spans="1:64" x14ac:dyDescent="0.2">
      <c r="A199" s="28">
        <v>89</v>
      </c>
      <c r="B199" s="80">
        <v>1720</v>
      </c>
      <c r="C199" s="80">
        <v>1620</v>
      </c>
      <c r="D199" s="80">
        <v>1720</v>
      </c>
      <c r="E199" s="80">
        <v>2130</v>
      </c>
      <c r="F199" s="80">
        <v>2190</v>
      </c>
      <c r="G199" s="80">
        <v>2360</v>
      </c>
      <c r="H199" s="80">
        <v>2460</v>
      </c>
      <c r="I199" s="80">
        <v>2470</v>
      </c>
      <c r="J199" s="80">
        <v>2780</v>
      </c>
      <c r="K199" s="80">
        <v>2840</v>
      </c>
      <c r="L199" s="28">
        <v>3070</v>
      </c>
      <c r="M199" s="28">
        <v>3180</v>
      </c>
      <c r="N199" s="28">
        <v>3310</v>
      </c>
      <c r="O199" s="28">
        <v>3360</v>
      </c>
      <c r="P199" s="28">
        <v>3650</v>
      </c>
      <c r="Q199" s="28">
        <v>3600</v>
      </c>
      <c r="R199" s="28">
        <v>3500</v>
      </c>
      <c r="S199" s="28">
        <v>3700</v>
      </c>
      <c r="T199" s="28">
        <v>3840</v>
      </c>
      <c r="U199" s="28">
        <v>3970</v>
      </c>
      <c r="V199" s="28">
        <v>4250</v>
      </c>
      <c r="W199" s="28">
        <v>4500</v>
      </c>
      <c r="X199" s="28">
        <v>4730</v>
      </c>
      <c r="Y199" s="28">
        <v>5380</v>
      </c>
      <c r="Z199" s="28">
        <v>5850</v>
      </c>
      <c r="AA199" s="28">
        <v>6080</v>
      </c>
      <c r="AB199" s="28">
        <v>5600</v>
      </c>
      <c r="AC199" s="28">
        <v>6430</v>
      </c>
      <c r="AD199" s="28">
        <v>6790</v>
      </c>
      <c r="AE199" s="28">
        <v>7290</v>
      </c>
      <c r="AF199" s="28">
        <v>8800</v>
      </c>
      <c r="AG199" s="28">
        <v>8910</v>
      </c>
      <c r="AH199" s="28">
        <v>9030</v>
      </c>
      <c r="AI199" s="28">
        <v>9260</v>
      </c>
      <c r="AJ199" s="28">
        <v>9480</v>
      </c>
      <c r="AK199" s="28">
        <v>9720</v>
      </c>
      <c r="AL199" s="28">
        <v>9970</v>
      </c>
      <c r="AM199" s="28">
        <v>10490</v>
      </c>
      <c r="AN199" s="28">
        <v>10920</v>
      </c>
      <c r="AO199" s="28">
        <v>11480</v>
      </c>
      <c r="AP199" s="28">
        <v>11960</v>
      </c>
      <c r="AQ199" s="28">
        <v>12130</v>
      </c>
      <c r="AR199" s="28">
        <v>12950</v>
      </c>
      <c r="AS199" s="28">
        <v>13350</v>
      </c>
      <c r="AT199" s="28">
        <v>13970</v>
      </c>
      <c r="AU199" s="28">
        <v>14520</v>
      </c>
      <c r="AV199" s="28">
        <v>14670</v>
      </c>
      <c r="AW199" s="28">
        <v>14750</v>
      </c>
      <c r="AX199" s="28">
        <v>14500</v>
      </c>
      <c r="AY199" s="28">
        <v>14570</v>
      </c>
      <c r="AZ199" s="28">
        <v>14670</v>
      </c>
      <c r="BA199" s="28">
        <v>15110</v>
      </c>
      <c r="BB199" s="28">
        <v>15530</v>
      </c>
      <c r="BC199" s="28">
        <v>15650</v>
      </c>
      <c r="BD199" s="28">
        <v>16220</v>
      </c>
      <c r="BE199" s="28">
        <v>16320</v>
      </c>
      <c r="BF199" s="28">
        <v>15980</v>
      </c>
      <c r="BG199" s="28">
        <v>15740</v>
      </c>
      <c r="BH199" s="28">
        <v>15350</v>
      </c>
      <c r="BI199" s="28">
        <v>15170</v>
      </c>
      <c r="BJ199" s="28">
        <v>15320</v>
      </c>
      <c r="BK199" s="28">
        <v>15200</v>
      </c>
      <c r="BL199" s="28">
        <v>15780</v>
      </c>
    </row>
    <row r="200" spans="1:64" x14ac:dyDescent="0.2">
      <c r="A200" s="28" t="s">
        <v>3</v>
      </c>
      <c r="B200" s="80">
        <v>5020</v>
      </c>
      <c r="C200" s="80">
        <v>5290</v>
      </c>
      <c r="D200" s="80">
        <v>5460</v>
      </c>
      <c r="E200" s="80">
        <v>5640</v>
      </c>
      <c r="F200" s="80">
        <v>6100</v>
      </c>
      <c r="G200" s="80">
        <v>6550</v>
      </c>
      <c r="H200" s="80">
        <v>7010</v>
      </c>
      <c r="I200" s="80">
        <v>7500</v>
      </c>
      <c r="J200" s="80">
        <v>8070</v>
      </c>
      <c r="K200" s="80">
        <v>8610</v>
      </c>
      <c r="L200" s="80">
        <v>9180</v>
      </c>
      <c r="M200" s="80">
        <v>9700</v>
      </c>
      <c r="N200" s="80">
        <v>10330</v>
      </c>
      <c r="O200" s="80">
        <v>10900</v>
      </c>
      <c r="P200" s="80">
        <v>11340</v>
      </c>
      <c r="Q200" s="80">
        <v>11960</v>
      </c>
      <c r="R200" s="80">
        <v>12470</v>
      </c>
      <c r="S200" s="80">
        <v>12720</v>
      </c>
      <c r="T200" s="80">
        <v>13080</v>
      </c>
      <c r="U200" s="80">
        <v>13510</v>
      </c>
      <c r="V200" s="80">
        <v>14000</v>
      </c>
      <c r="W200" s="80">
        <v>14620</v>
      </c>
      <c r="X200" s="80">
        <v>15390</v>
      </c>
      <c r="Y200" s="80">
        <v>16190</v>
      </c>
      <c r="Z200" s="80">
        <v>17390</v>
      </c>
      <c r="AA200" s="80">
        <v>18780</v>
      </c>
      <c r="AB200" s="80">
        <v>20180</v>
      </c>
      <c r="AC200" s="80">
        <v>20860</v>
      </c>
      <c r="AD200" s="80">
        <v>22200</v>
      </c>
      <c r="AE200" s="80">
        <v>23480</v>
      </c>
      <c r="AF200" s="80">
        <v>25000</v>
      </c>
      <c r="AG200" s="80">
        <v>27600</v>
      </c>
      <c r="AH200" s="80">
        <v>29780</v>
      </c>
      <c r="AI200" s="80">
        <v>31770</v>
      </c>
      <c r="AJ200" s="80">
        <v>33560</v>
      </c>
      <c r="AK200" s="80">
        <v>35140</v>
      </c>
      <c r="AL200" s="80">
        <v>36660</v>
      </c>
      <c r="AM200" s="80">
        <v>38070</v>
      </c>
      <c r="AN200" s="80">
        <v>39660</v>
      </c>
      <c r="AO200" s="80">
        <v>41410</v>
      </c>
      <c r="AP200" s="80">
        <v>43290</v>
      </c>
      <c r="AQ200" s="80">
        <v>45180</v>
      </c>
      <c r="AR200" s="80">
        <v>46990</v>
      </c>
      <c r="AS200" s="80">
        <v>49250</v>
      </c>
      <c r="AT200" s="80">
        <v>51440</v>
      </c>
      <c r="AU200" s="80">
        <v>53730</v>
      </c>
      <c r="AV200" s="80">
        <v>56180</v>
      </c>
      <c r="AW200" s="80">
        <v>58340</v>
      </c>
      <c r="AX200" s="80">
        <v>60220</v>
      </c>
      <c r="AY200" s="80">
        <v>61490</v>
      </c>
      <c r="AZ200" s="80">
        <v>62650</v>
      </c>
      <c r="BA200" s="80">
        <v>63590</v>
      </c>
      <c r="BB200" s="80">
        <v>64750</v>
      </c>
      <c r="BC200" s="80">
        <v>66110</v>
      </c>
      <c r="BD200" s="80">
        <v>67360</v>
      </c>
      <c r="BE200" s="80">
        <v>68980</v>
      </c>
      <c r="BF200" s="80">
        <v>70490</v>
      </c>
      <c r="BG200" s="80">
        <v>71450</v>
      </c>
      <c r="BH200" s="80">
        <v>71950</v>
      </c>
      <c r="BI200" s="80">
        <v>72160</v>
      </c>
      <c r="BJ200" s="80">
        <v>72030</v>
      </c>
      <c r="BK200" s="80">
        <v>72130</v>
      </c>
      <c r="BL200" s="80">
        <v>72130</v>
      </c>
    </row>
    <row r="201" spans="1:64" x14ac:dyDescent="0.2">
      <c r="A201" s="72" t="s">
        <v>10</v>
      </c>
      <c r="B201" s="80">
        <f t="shared" ref="B201:AY201" si="3">SUM(B$110:B$200)</f>
        <v>2048380</v>
      </c>
      <c r="C201" s="80">
        <f t="shared" si="3"/>
        <v>2066490</v>
      </c>
      <c r="D201" s="80">
        <f t="shared" si="3"/>
        <v>2083420</v>
      </c>
      <c r="E201" s="80">
        <f t="shared" si="3"/>
        <v>2104650</v>
      </c>
      <c r="F201" s="80">
        <f t="shared" si="3"/>
        <v>2127750</v>
      </c>
      <c r="G201" s="80">
        <f t="shared" si="3"/>
        <v>2143560</v>
      </c>
      <c r="H201" s="80">
        <f t="shared" si="3"/>
        <v>2154980</v>
      </c>
      <c r="I201" s="80">
        <f t="shared" si="3"/>
        <v>2172160</v>
      </c>
      <c r="J201" s="80">
        <f t="shared" si="3"/>
        <v>2209540</v>
      </c>
      <c r="K201" s="80">
        <f t="shared" si="3"/>
        <v>2257200</v>
      </c>
      <c r="L201" s="80">
        <f t="shared" si="3"/>
        <v>2308840</v>
      </c>
      <c r="M201" s="80">
        <f t="shared" si="3"/>
        <v>2357060</v>
      </c>
      <c r="N201" s="80">
        <f t="shared" si="3"/>
        <v>2401000</v>
      </c>
      <c r="O201" s="80">
        <f t="shared" si="3"/>
        <v>2440530</v>
      </c>
      <c r="P201" s="80">
        <f t="shared" si="3"/>
        <v>2475320</v>
      </c>
      <c r="Q201" s="80">
        <f t="shared" si="3"/>
        <v>2505420</v>
      </c>
      <c r="R201" s="80">
        <f t="shared" si="3"/>
        <v>2530480</v>
      </c>
      <c r="S201" s="80">
        <f t="shared" si="3"/>
        <v>2555500</v>
      </c>
      <c r="T201" s="80">
        <f t="shared" si="3"/>
        <v>2580210</v>
      </c>
      <c r="U201" s="80">
        <f t="shared" si="3"/>
        <v>2604730</v>
      </c>
      <c r="V201" s="80">
        <f t="shared" si="3"/>
        <v>2628820</v>
      </c>
      <c r="W201" s="80">
        <f t="shared" si="3"/>
        <v>2652540</v>
      </c>
      <c r="X201" s="80">
        <f t="shared" si="3"/>
        <v>2675830</v>
      </c>
      <c r="Y201" s="80">
        <f t="shared" si="3"/>
        <v>2698360</v>
      </c>
      <c r="Z201" s="80">
        <f t="shared" si="3"/>
        <v>2720330</v>
      </c>
      <c r="AA201" s="80">
        <f t="shared" si="3"/>
        <v>2741730</v>
      </c>
      <c r="AB201" s="80">
        <f t="shared" si="3"/>
        <v>2762400</v>
      </c>
      <c r="AC201" s="80">
        <f t="shared" si="3"/>
        <v>2782490</v>
      </c>
      <c r="AD201" s="80">
        <f t="shared" si="3"/>
        <v>2802010</v>
      </c>
      <c r="AE201" s="80">
        <f t="shared" si="3"/>
        <v>2820800</v>
      </c>
      <c r="AF201" s="80">
        <f t="shared" si="3"/>
        <v>2839120</v>
      </c>
      <c r="AG201" s="80">
        <f t="shared" si="3"/>
        <v>2857120</v>
      </c>
      <c r="AH201" s="80">
        <f t="shared" si="3"/>
        <v>2874540</v>
      </c>
      <c r="AI201" s="80">
        <f t="shared" si="3"/>
        <v>2891730</v>
      </c>
      <c r="AJ201" s="80">
        <f t="shared" si="3"/>
        <v>2908570</v>
      </c>
      <c r="AK201" s="80">
        <f t="shared" si="3"/>
        <v>2925060</v>
      </c>
      <c r="AL201" s="80">
        <f t="shared" si="3"/>
        <v>2941320</v>
      </c>
      <c r="AM201" s="80">
        <f t="shared" si="3"/>
        <v>2957230</v>
      </c>
      <c r="AN201" s="80">
        <f t="shared" si="3"/>
        <v>2973020</v>
      </c>
      <c r="AO201" s="80">
        <f t="shared" si="3"/>
        <v>2988610</v>
      </c>
      <c r="AP201" s="80">
        <f t="shared" si="3"/>
        <v>3003860</v>
      </c>
      <c r="AQ201" s="80">
        <f t="shared" si="3"/>
        <v>3018840</v>
      </c>
      <c r="AR201" s="80">
        <f t="shared" si="3"/>
        <v>3033680</v>
      </c>
      <c r="AS201" s="80">
        <f t="shared" si="3"/>
        <v>3048470</v>
      </c>
      <c r="AT201" s="80">
        <f t="shared" si="3"/>
        <v>3062900</v>
      </c>
      <c r="AU201" s="80">
        <f t="shared" si="3"/>
        <v>3077160</v>
      </c>
      <c r="AV201" s="80">
        <f t="shared" si="3"/>
        <v>3091290</v>
      </c>
      <c r="AW201" s="80">
        <f t="shared" si="3"/>
        <v>3105300</v>
      </c>
      <c r="AX201" s="80">
        <f t="shared" si="3"/>
        <v>3119180</v>
      </c>
      <c r="AY201" s="80">
        <f t="shared" si="3"/>
        <v>3133040</v>
      </c>
      <c r="AZ201" s="80">
        <f t="shared" ref="AZ201:BL201" si="4">SUM(AZ$110:AZ$200)</f>
        <v>3146790</v>
      </c>
      <c r="BA201" s="80">
        <f t="shared" si="4"/>
        <v>3160470</v>
      </c>
      <c r="BB201" s="80">
        <f t="shared" si="4"/>
        <v>3174010</v>
      </c>
      <c r="BC201" s="80">
        <f t="shared" si="4"/>
        <v>3187600</v>
      </c>
      <c r="BD201" s="80">
        <f t="shared" si="4"/>
        <v>3201090</v>
      </c>
      <c r="BE201" s="80">
        <f t="shared" si="4"/>
        <v>3214560</v>
      </c>
      <c r="BF201" s="80">
        <f t="shared" si="4"/>
        <v>3227890</v>
      </c>
      <c r="BG201" s="80">
        <f t="shared" si="4"/>
        <v>3241230</v>
      </c>
      <c r="BH201" s="80">
        <f t="shared" si="4"/>
        <v>3254250</v>
      </c>
      <c r="BI201" s="80">
        <f t="shared" si="4"/>
        <v>3267530</v>
      </c>
      <c r="BJ201" s="80">
        <f t="shared" si="4"/>
        <v>3280470</v>
      </c>
      <c r="BK201" s="80">
        <f t="shared" si="4"/>
        <v>3293450</v>
      </c>
      <c r="BL201" s="80">
        <f t="shared" si="4"/>
        <v>3306310</v>
      </c>
    </row>
    <row r="203" spans="1:64" x14ac:dyDescent="0.2">
      <c r="G203" s="72" t="s">
        <v>78</v>
      </c>
      <c r="K203" s="85">
        <v>80.2</v>
      </c>
      <c r="L203" s="85">
        <v>80.3</v>
      </c>
      <c r="M203" s="85">
        <v>80.599999999999994</v>
      </c>
      <c r="N203" s="85">
        <v>80.8</v>
      </c>
      <c r="O203" s="85">
        <v>81</v>
      </c>
      <c r="P203" s="85">
        <v>81.2</v>
      </c>
      <c r="Q203" s="85">
        <v>81.400000000000006</v>
      </c>
      <c r="R203" s="85">
        <v>81.599999999999994</v>
      </c>
      <c r="S203" s="85">
        <v>81.8</v>
      </c>
      <c r="T203" s="85">
        <v>82</v>
      </c>
      <c r="U203" s="85">
        <v>82.2</v>
      </c>
      <c r="V203" s="85">
        <v>82.4</v>
      </c>
      <c r="W203" s="85">
        <v>82.6</v>
      </c>
      <c r="X203" s="85">
        <v>82.8</v>
      </c>
      <c r="Y203" s="85">
        <v>83</v>
      </c>
      <c r="Z203" s="85">
        <v>83.2</v>
      </c>
      <c r="AA203" s="85">
        <v>83.4</v>
      </c>
      <c r="AB203" s="85">
        <v>83.6</v>
      </c>
      <c r="AC203" s="85">
        <v>83.8</v>
      </c>
      <c r="AD203" s="85">
        <v>84</v>
      </c>
      <c r="AE203" s="85">
        <v>84.2</v>
      </c>
      <c r="AF203" s="85">
        <v>84.3</v>
      </c>
      <c r="AG203" s="85">
        <v>84.5</v>
      </c>
      <c r="AH203" s="85">
        <v>84.7</v>
      </c>
      <c r="AI203" s="85">
        <v>84.9</v>
      </c>
      <c r="AJ203" s="85">
        <v>85</v>
      </c>
      <c r="AK203" s="85">
        <v>85.2</v>
      </c>
      <c r="AL203" s="85">
        <v>85.4</v>
      </c>
      <c r="AM203" s="85">
        <v>85.5</v>
      </c>
      <c r="AN203" s="85">
        <v>85.7</v>
      </c>
      <c r="AO203" s="85">
        <v>85.9</v>
      </c>
      <c r="AP203" s="85">
        <v>86</v>
      </c>
      <c r="AQ203" s="85">
        <v>86.2</v>
      </c>
      <c r="AR203" s="85">
        <v>86.3</v>
      </c>
      <c r="AS203" s="85">
        <v>86.5</v>
      </c>
      <c r="AT203" s="85">
        <v>86.6</v>
      </c>
      <c r="AU203" s="85">
        <v>86.8</v>
      </c>
      <c r="AV203" s="85">
        <v>86.9</v>
      </c>
      <c r="AW203" s="85">
        <v>87.1</v>
      </c>
      <c r="AX203" s="85">
        <v>87.2</v>
      </c>
      <c r="AY203" s="85">
        <v>87.4</v>
      </c>
      <c r="AZ203" s="85">
        <v>87.5</v>
      </c>
      <c r="BA203" s="85">
        <v>87.6</v>
      </c>
      <c r="BB203" s="85">
        <v>87.8</v>
      </c>
      <c r="BC203" s="85">
        <v>87.9</v>
      </c>
      <c r="BD203" s="85">
        <v>88</v>
      </c>
      <c r="BE203" s="85">
        <v>88.2</v>
      </c>
      <c r="BF203" s="85">
        <v>88.3</v>
      </c>
      <c r="BG203" s="85">
        <v>88.4</v>
      </c>
      <c r="BH203" s="85">
        <v>88.6</v>
      </c>
      <c r="BI203" s="85">
        <v>88.7</v>
      </c>
      <c r="BJ203" s="85">
        <v>88.8</v>
      </c>
      <c r="BK203" s="85">
        <v>88.9</v>
      </c>
      <c r="BL203" s="85">
        <v>89</v>
      </c>
    </row>
    <row r="204" spans="1:64" x14ac:dyDescent="0.2">
      <c r="G204" s="72" t="s">
        <v>79</v>
      </c>
      <c r="K204" s="85">
        <v>19.2</v>
      </c>
      <c r="L204" s="85">
        <v>19.3</v>
      </c>
      <c r="M204" s="85">
        <v>19.5</v>
      </c>
      <c r="N204" s="85">
        <v>19.600000000000001</v>
      </c>
      <c r="O204" s="85">
        <v>19.8</v>
      </c>
      <c r="P204" s="85">
        <v>19.899999999999999</v>
      </c>
      <c r="Q204" s="85">
        <v>20</v>
      </c>
      <c r="R204" s="85">
        <v>20.2</v>
      </c>
      <c r="S204" s="85">
        <v>20.3</v>
      </c>
      <c r="T204" s="85">
        <v>20.5</v>
      </c>
      <c r="U204" s="85">
        <v>20.6</v>
      </c>
      <c r="V204" s="85">
        <v>20.7</v>
      </c>
      <c r="W204" s="85">
        <v>20.9</v>
      </c>
      <c r="X204" s="85">
        <v>21</v>
      </c>
      <c r="Y204" s="85">
        <v>21.1</v>
      </c>
      <c r="Z204" s="85">
        <v>21.3</v>
      </c>
      <c r="AA204" s="85">
        <v>21.4</v>
      </c>
      <c r="AB204" s="85">
        <v>21.5</v>
      </c>
      <c r="AC204" s="85">
        <v>21.6</v>
      </c>
      <c r="AD204" s="85">
        <v>21.8</v>
      </c>
      <c r="AE204" s="85">
        <v>21.9</v>
      </c>
      <c r="AF204" s="85">
        <v>22</v>
      </c>
      <c r="AG204" s="85">
        <v>22.1</v>
      </c>
      <c r="AH204" s="85">
        <v>22.3</v>
      </c>
      <c r="AI204" s="85">
        <v>22.4</v>
      </c>
      <c r="AJ204" s="85">
        <v>22.5</v>
      </c>
      <c r="AK204" s="85">
        <v>22.6</v>
      </c>
      <c r="AL204" s="85">
        <v>22.7</v>
      </c>
      <c r="AM204" s="85">
        <v>22.9</v>
      </c>
      <c r="AN204" s="85">
        <v>23</v>
      </c>
      <c r="AO204" s="85">
        <v>23.1</v>
      </c>
      <c r="AP204" s="85">
        <v>23.2</v>
      </c>
      <c r="AQ204" s="85">
        <v>23.3</v>
      </c>
      <c r="AR204" s="85">
        <v>23.4</v>
      </c>
      <c r="AS204" s="85">
        <v>23.5</v>
      </c>
      <c r="AT204" s="85">
        <v>23.6</v>
      </c>
      <c r="AU204" s="85">
        <v>23.8</v>
      </c>
      <c r="AV204" s="85">
        <v>23.9</v>
      </c>
      <c r="AW204" s="85">
        <v>24</v>
      </c>
      <c r="AX204" s="85">
        <v>24.1</v>
      </c>
      <c r="AY204" s="85">
        <v>24.2</v>
      </c>
      <c r="AZ204" s="85">
        <v>24.3</v>
      </c>
      <c r="BA204" s="85">
        <v>24.4</v>
      </c>
      <c r="BB204" s="85">
        <v>24.5</v>
      </c>
      <c r="BC204" s="85">
        <v>24.6</v>
      </c>
      <c r="BD204" s="85">
        <v>24.7</v>
      </c>
      <c r="BE204" s="85">
        <v>24.8</v>
      </c>
      <c r="BF204" s="85">
        <v>24.9</v>
      </c>
      <c r="BG204" s="85">
        <v>25</v>
      </c>
      <c r="BH204" s="85">
        <v>25.1</v>
      </c>
      <c r="BI204" s="85">
        <v>25.2</v>
      </c>
      <c r="BJ204" s="85">
        <v>25.2</v>
      </c>
      <c r="BK204" s="85">
        <v>25.3</v>
      </c>
      <c r="BL204" s="85">
        <v>25.4</v>
      </c>
    </row>
    <row r="206" spans="1:64" x14ac:dyDescent="0.2">
      <c r="A206" s="72" t="s">
        <v>434</v>
      </c>
    </row>
    <row r="207" spans="1:64" x14ac:dyDescent="0.2">
      <c r="A207" s="28" t="s">
        <v>469</v>
      </c>
      <c r="C207" s="77">
        <f>SUM(C$25:C$100,C$125:C$200)/SUM(B$25:B$100,B$125:B$200)-1</f>
        <v>1.0994078244830563E-2</v>
      </c>
      <c r="D207" s="77">
        <f t="shared" ref="D207:BL207" si="5">SUM(D$25:D$100,D$125:D$200)/SUM(C$25:C$100,C$125:C$200)-1</f>
        <v>9.5062054396619633E-3</v>
      </c>
      <c r="E207" s="77">
        <f t="shared" si="5"/>
        <v>1.1054502651416165E-2</v>
      </c>
      <c r="F207" s="77">
        <f t="shared" si="5"/>
        <v>1.2083153262010482E-2</v>
      </c>
      <c r="G207" s="77">
        <f t="shared" si="5"/>
        <v>8.9265743508408768E-3</v>
      </c>
      <c r="H207" s="77">
        <f t="shared" si="5"/>
        <v>7.1719364516333872E-3</v>
      </c>
      <c r="I207" s="77">
        <f t="shared" si="5"/>
        <v>1.0045252231881241E-2</v>
      </c>
      <c r="J207" s="77">
        <f t="shared" si="5"/>
        <v>1.8478423914120246E-2</v>
      </c>
      <c r="K207" s="77">
        <f t="shared" si="5"/>
        <v>2.3008947924192835E-2</v>
      </c>
      <c r="L207" s="77">
        <f t="shared" si="5"/>
        <v>2.4487966534470607E-2</v>
      </c>
      <c r="M207" s="77">
        <f t="shared" si="5"/>
        <v>2.118227254046734E-2</v>
      </c>
      <c r="N207" s="77">
        <f t="shared" si="5"/>
        <v>1.8712481565336558E-2</v>
      </c>
      <c r="O207" s="77">
        <f t="shared" si="5"/>
        <v>1.6597383465315474E-2</v>
      </c>
      <c r="P207" s="77">
        <f t="shared" si="5"/>
        <v>1.4147714879545026E-2</v>
      </c>
      <c r="Q207" s="77">
        <f t="shared" si="5"/>
        <v>1.227917509258214E-2</v>
      </c>
      <c r="R207" s="77">
        <f t="shared" si="5"/>
        <v>1.0804131163715258E-2</v>
      </c>
      <c r="S207" s="77">
        <f t="shared" si="5"/>
        <v>1.1203270378862484E-2</v>
      </c>
      <c r="T207" s="77">
        <f t="shared" si="5"/>
        <v>1.0935790162806436E-2</v>
      </c>
      <c r="U207" s="77">
        <f t="shared" si="5"/>
        <v>1.096875288044985E-2</v>
      </c>
      <c r="V207" s="77">
        <f t="shared" si="5"/>
        <v>1.0459331575305209E-2</v>
      </c>
      <c r="W207" s="77">
        <f t="shared" si="5"/>
        <v>9.9577535826165242E-3</v>
      </c>
      <c r="X207" s="77">
        <f t="shared" si="5"/>
        <v>9.5732252078895019E-3</v>
      </c>
      <c r="Y207" s="77">
        <f t="shared" si="5"/>
        <v>8.9356014966792685E-3</v>
      </c>
      <c r="Z207" s="77">
        <f t="shared" si="5"/>
        <v>8.6225702636024693E-3</v>
      </c>
      <c r="AA207" s="77">
        <f t="shared" si="5"/>
        <v>8.3548689911054907E-3</v>
      </c>
      <c r="AB207" s="77">
        <f t="shared" si="5"/>
        <v>8.270164607233621E-3</v>
      </c>
      <c r="AC207" s="77">
        <f t="shared" si="5"/>
        <v>8.2922485788476941E-3</v>
      </c>
      <c r="AD207" s="77">
        <f t="shared" si="5"/>
        <v>8.2719048872319512E-3</v>
      </c>
      <c r="AE207" s="77">
        <f t="shared" si="5"/>
        <v>8.1630539831560878E-3</v>
      </c>
      <c r="AF207" s="77">
        <f t="shared" si="5"/>
        <v>8.0691408322919322E-3</v>
      </c>
      <c r="AG207" s="77">
        <f t="shared" si="5"/>
        <v>7.9281352219346957E-3</v>
      </c>
      <c r="AH207" s="77">
        <f t="shared" si="5"/>
        <v>7.7036150972322748E-3</v>
      </c>
      <c r="AI207" s="77">
        <f t="shared" si="5"/>
        <v>7.4796238244514424E-3</v>
      </c>
      <c r="AJ207" s="77">
        <f t="shared" si="5"/>
        <v>7.2602208351744135E-3</v>
      </c>
      <c r="AK207" s="77">
        <f t="shared" si="5"/>
        <v>6.9648811007065881E-3</v>
      </c>
      <c r="AL207" s="77">
        <f t="shared" si="5"/>
        <v>6.7244626872082769E-3</v>
      </c>
      <c r="AM207" s="77">
        <f t="shared" si="5"/>
        <v>6.4296727875525761E-3</v>
      </c>
      <c r="AN207" s="77">
        <f t="shared" si="5"/>
        <v>6.1483930611569981E-3</v>
      </c>
      <c r="AO207" s="77">
        <f t="shared" si="5"/>
        <v>5.8399871604541964E-3</v>
      </c>
      <c r="AP207" s="77">
        <f t="shared" si="5"/>
        <v>5.5787031958369759E-3</v>
      </c>
      <c r="AQ207" s="77">
        <f t="shared" si="5"/>
        <v>5.2621348439410021E-3</v>
      </c>
      <c r="AR207" s="77">
        <f t="shared" si="5"/>
        <v>5.0333352406470855E-3</v>
      </c>
      <c r="AS207" s="77">
        <f t="shared" si="5"/>
        <v>4.8294762963021487E-3</v>
      </c>
      <c r="AT207" s="77">
        <f t="shared" si="5"/>
        <v>4.595257818971854E-3</v>
      </c>
      <c r="AU207" s="77">
        <f t="shared" si="5"/>
        <v>4.3816999362096265E-3</v>
      </c>
      <c r="AV207" s="77">
        <f t="shared" si="5"/>
        <v>4.2754488930885071E-3</v>
      </c>
      <c r="AW207" s="77">
        <f t="shared" si="5"/>
        <v>4.11456776793373E-3</v>
      </c>
      <c r="AX207" s="77">
        <f t="shared" si="5"/>
        <v>4.0516226652764775E-3</v>
      </c>
      <c r="AY207" s="77">
        <f t="shared" si="5"/>
        <v>3.9645125447274054E-3</v>
      </c>
      <c r="AZ207" s="77">
        <f t="shared" si="5"/>
        <v>3.9374278519206385E-3</v>
      </c>
      <c r="BA207" s="77">
        <f t="shared" si="5"/>
        <v>3.9049084585478511E-3</v>
      </c>
      <c r="BB207" s="77">
        <f t="shared" si="5"/>
        <v>3.8594786868699771E-3</v>
      </c>
      <c r="BC207" s="77">
        <f t="shared" si="5"/>
        <v>3.8822960147157914E-3</v>
      </c>
      <c r="BD207" s="77">
        <f t="shared" si="5"/>
        <v>3.8691575814295831E-3</v>
      </c>
      <c r="BE207" s="77">
        <f t="shared" si="5"/>
        <v>3.8897420663834836E-3</v>
      </c>
      <c r="BF207" s="77">
        <f t="shared" si="5"/>
        <v>3.8746705971681727E-3</v>
      </c>
      <c r="BG207" s="77">
        <f t="shared" si="5"/>
        <v>3.9079155682606448E-3</v>
      </c>
      <c r="BH207" s="77">
        <f t="shared" si="5"/>
        <v>3.8760835121489645E-3</v>
      </c>
      <c r="BI207" s="77">
        <f t="shared" si="5"/>
        <v>3.953092664980451E-3</v>
      </c>
      <c r="BJ207" s="77">
        <f t="shared" si="5"/>
        <v>3.9356949946314224E-3</v>
      </c>
      <c r="BK207" s="77">
        <f t="shared" si="5"/>
        <v>3.9640678782746352E-3</v>
      </c>
      <c r="BL207" s="77">
        <f t="shared" si="5"/>
        <v>3.9738662846713346E-3</v>
      </c>
    </row>
    <row r="208" spans="1:64" x14ac:dyDescent="0.2">
      <c r="A208" s="28" t="s">
        <v>448</v>
      </c>
      <c r="C208" s="77">
        <f>SUM(C$28:C$29,C$128:C$129)/SUM(B$28:B$29,B$128:B$129)-1</f>
        <v>1.7572944297082227E-2</v>
      </c>
      <c r="D208" s="77">
        <f t="shared" ref="D208:BL208" si="6">SUM(D$28:D$29,D$128:D$129)/SUM(C$28:C$29,C$128:C$129)-1</f>
        <v>1.9224503095470746E-2</v>
      </c>
      <c r="E208" s="77">
        <f t="shared" si="6"/>
        <v>2.7493606138107474E-2</v>
      </c>
      <c r="F208" s="77">
        <f t="shared" si="6"/>
        <v>3.8892345986309973E-3</v>
      </c>
      <c r="G208" s="77">
        <f t="shared" si="6"/>
        <v>-1.3482101348210151E-2</v>
      </c>
      <c r="H208" s="77">
        <f t="shared" si="6"/>
        <v>-9.1109016650958718E-3</v>
      </c>
      <c r="I208" s="77">
        <f t="shared" si="6"/>
        <v>-7.9264426125558174E-4</v>
      </c>
      <c r="J208" s="77">
        <f t="shared" si="6"/>
        <v>1.7372679676344704E-2</v>
      </c>
      <c r="K208" s="77">
        <f t="shared" si="6"/>
        <v>1.3489278752436551E-2</v>
      </c>
      <c r="L208" s="77">
        <f t="shared" si="6"/>
        <v>8.0012309586090513E-3</v>
      </c>
      <c r="M208" s="77">
        <f t="shared" si="6"/>
        <v>-6.0296137994199084E-3</v>
      </c>
      <c r="N208" s="77">
        <f t="shared" si="6"/>
        <v>9.8287644935881602E-3</v>
      </c>
      <c r="O208" s="77">
        <f t="shared" si="6"/>
        <v>4.4103110029656278E-3</v>
      </c>
      <c r="P208" s="77">
        <f t="shared" si="6"/>
        <v>-3.1720796426678799E-2</v>
      </c>
      <c r="Q208" s="77">
        <f t="shared" si="6"/>
        <v>-2.3143080531665361E-2</v>
      </c>
      <c r="R208" s="77">
        <f t="shared" si="6"/>
        <v>4.8823435248919189E-3</v>
      </c>
      <c r="S208" s="77">
        <f t="shared" si="6"/>
        <v>5.177220230983659E-3</v>
      </c>
      <c r="T208" s="77">
        <f t="shared" si="6"/>
        <v>6.9730586370839731E-3</v>
      </c>
      <c r="U208" s="77">
        <f t="shared" si="6"/>
        <v>3.3128737802958774E-2</v>
      </c>
      <c r="V208" s="77">
        <f t="shared" si="6"/>
        <v>4.1815827557315943E-2</v>
      </c>
      <c r="W208" s="77">
        <f t="shared" si="6"/>
        <v>1.8643076473168652E-2</v>
      </c>
      <c r="X208" s="77">
        <f t="shared" si="6"/>
        <v>7.679609560037326E-3</v>
      </c>
      <c r="Y208" s="77">
        <f t="shared" si="6"/>
        <v>-4.985754985754598E-4</v>
      </c>
      <c r="Z208" s="77">
        <f t="shared" si="6"/>
        <v>-1.5107247203021479E-2</v>
      </c>
      <c r="AA208" s="77">
        <f t="shared" si="6"/>
        <v>-1.2010708342377496E-2</v>
      </c>
      <c r="AB208" s="77">
        <f t="shared" si="6"/>
        <v>-1.7429512998901497E-2</v>
      </c>
      <c r="AC208" s="77">
        <f t="shared" si="6"/>
        <v>-1.3341283446373975E-2</v>
      </c>
      <c r="AD208" s="77">
        <f t="shared" si="6"/>
        <v>-2.7949841365765282E-3</v>
      </c>
      <c r="AE208" s="77">
        <f t="shared" si="6"/>
        <v>5.3783804257252488E-3</v>
      </c>
      <c r="AF208" s="77">
        <f t="shared" si="6"/>
        <v>1.574743821579272E-2</v>
      </c>
      <c r="AG208" s="77">
        <f t="shared" si="6"/>
        <v>1.6690156516578902E-2</v>
      </c>
      <c r="AH208" s="77">
        <f t="shared" si="6"/>
        <v>1.4300306435137911E-2</v>
      </c>
      <c r="AI208" s="77">
        <f t="shared" si="6"/>
        <v>1.1652999568407374E-2</v>
      </c>
      <c r="AJ208" s="77">
        <f t="shared" si="6"/>
        <v>8.5324232081911422E-3</v>
      </c>
      <c r="AK208" s="77">
        <f t="shared" si="6"/>
        <v>5.3581500282007255E-3</v>
      </c>
      <c r="AL208" s="77">
        <f t="shared" si="6"/>
        <v>3.0154277699858678E-3</v>
      </c>
      <c r="AM208" s="77">
        <f t="shared" si="6"/>
        <v>1.1186464378103445E-3</v>
      </c>
      <c r="AN208" s="77">
        <f t="shared" si="6"/>
        <v>-8.3804734967529715E-4</v>
      </c>
      <c r="AO208" s="77">
        <f t="shared" si="6"/>
        <v>-2.3764590759768334E-3</v>
      </c>
      <c r="AP208" s="77">
        <f t="shared" si="6"/>
        <v>-3.9234919077979491E-3</v>
      </c>
      <c r="AQ208" s="77">
        <f t="shared" si="6"/>
        <v>-5.0643595695294419E-3</v>
      </c>
      <c r="AR208" s="77">
        <f t="shared" si="6"/>
        <v>-5.9384941675503233E-3</v>
      </c>
      <c r="AS208" s="77">
        <f t="shared" si="6"/>
        <v>-6.5429201337031673E-3</v>
      </c>
      <c r="AT208" s="77">
        <f t="shared" si="6"/>
        <v>-6.8007731405254068E-3</v>
      </c>
      <c r="AU208" s="77">
        <f t="shared" si="6"/>
        <v>-6.486954014703783E-3</v>
      </c>
      <c r="AV208" s="77">
        <f t="shared" si="6"/>
        <v>-5.8038305281485902E-3</v>
      </c>
      <c r="AW208" s="77">
        <f t="shared" si="6"/>
        <v>-4.8161120840630733E-3</v>
      </c>
      <c r="AX208" s="77">
        <f t="shared" si="6"/>
        <v>-3.3729285819035226E-3</v>
      </c>
      <c r="AY208" s="77">
        <f t="shared" si="6"/>
        <v>-1.9864626250736261E-3</v>
      </c>
      <c r="AZ208" s="77">
        <f t="shared" si="6"/>
        <v>-5.1603391079990679E-4</v>
      </c>
      <c r="BA208" s="77">
        <f t="shared" si="6"/>
        <v>8.1132910458769913E-4</v>
      </c>
      <c r="BB208" s="77">
        <f t="shared" si="6"/>
        <v>1.8424349620458358E-3</v>
      </c>
      <c r="BC208" s="77">
        <f t="shared" si="6"/>
        <v>2.2804178313962087E-3</v>
      </c>
      <c r="BD208" s="77">
        <f t="shared" si="6"/>
        <v>2.9357798165137172E-3</v>
      </c>
      <c r="BE208" s="77">
        <f t="shared" si="6"/>
        <v>2.9271862422246553E-3</v>
      </c>
      <c r="BF208" s="77">
        <f t="shared" si="6"/>
        <v>2.9916089018606762E-3</v>
      </c>
      <c r="BG208" s="77">
        <f t="shared" si="6"/>
        <v>2.7644405645279591E-3</v>
      </c>
      <c r="BH208" s="77">
        <f t="shared" si="6"/>
        <v>2.6842716192687632E-3</v>
      </c>
      <c r="BI208" s="77">
        <f t="shared" si="6"/>
        <v>2.532378264959112E-3</v>
      </c>
      <c r="BJ208" s="77">
        <f t="shared" si="6"/>
        <v>2.3094688221709792E-3</v>
      </c>
      <c r="BK208" s="77">
        <f t="shared" si="6"/>
        <v>2.3041474654377225E-3</v>
      </c>
      <c r="BL208" s="77">
        <f t="shared" si="6"/>
        <v>2.3706896551725087E-3</v>
      </c>
    </row>
    <row r="209" spans="1:64" x14ac:dyDescent="0.2">
      <c r="A209" s="28" t="s">
        <v>449</v>
      </c>
      <c r="C209" s="77">
        <f>SUM(C$28:C$29)/SUM(B$28:B$29)-1</f>
        <v>2.3122362869198332E-2</v>
      </c>
      <c r="D209" s="77">
        <f t="shared" ref="D209:BL209" si="7">SUM(D$28:D$29)/SUM(C$28:C$29)-1</f>
        <v>2.5734081161332911E-2</v>
      </c>
      <c r="E209" s="77">
        <f t="shared" si="7"/>
        <v>2.8948214860083699E-2</v>
      </c>
      <c r="F209" s="77">
        <f t="shared" si="7"/>
        <v>-1.5629884338855815E-3</v>
      </c>
      <c r="G209" s="77">
        <f t="shared" si="7"/>
        <v>-1.8159048215403928E-2</v>
      </c>
      <c r="H209" s="77">
        <f t="shared" si="7"/>
        <v>-1.2595663265306145E-2</v>
      </c>
      <c r="I209" s="77">
        <f t="shared" si="7"/>
        <v>-5.1671241724527972E-3</v>
      </c>
      <c r="J209" s="77">
        <f t="shared" si="7"/>
        <v>5.5185846453498222E-3</v>
      </c>
      <c r="K209" s="77">
        <f t="shared" si="7"/>
        <v>1.178369652945932E-2</v>
      </c>
      <c r="L209" s="77">
        <f t="shared" si="7"/>
        <v>1.2922782386726173E-2</v>
      </c>
      <c r="M209" s="77">
        <f t="shared" si="7"/>
        <v>-1.228539927547645E-2</v>
      </c>
      <c r="N209" s="77">
        <f t="shared" si="7"/>
        <v>1.020570881837024E-2</v>
      </c>
      <c r="O209" s="77">
        <f t="shared" si="7"/>
        <v>9.944751381215422E-3</v>
      </c>
      <c r="P209" s="77">
        <f t="shared" si="7"/>
        <v>-2.6727102219443521E-2</v>
      </c>
      <c r="Q209" s="77">
        <f t="shared" si="7"/>
        <v>-2.4731010117231444E-2</v>
      </c>
      <c r="R209" s="77">
        <f t="shared" si="7"/>
        <v>1.9759591635106766E-3</v>
      </c>
      <c r="S209" s="77">
        <f t="shared" si="7"/>
        <v>5.9161873459325776E-3</v>
      </c>
      <c r="T209" s="77">
        <f t="shared" si="7"/>
        <v>8.9854598921745854E-3</v>
      </c>
      <c r="U209" s="77">
        <f t="shared" si="7"/>
        <v>3.1897668393782386E-2</v>
      </c>
      <c r="V209" s="77">
        <f t="shared" si="7"/>
        <v>3.9071081123489781E-2</v>
      </c>
      <c r="W209" s="77">
        <f t="shared" si="7"/>
        <v>1.2836001208094139E-2</v>
      </c>
      <c r="X209" s="77">
        <f t="shared" si="7"/>
        <v>7.6039958252571704E-3</v>
      </c>
      <c r="Y209" s="77">
        <f t="shared" si="7"/>
        <v>6.06688369340036E-3</v>
      </c>
      <c r="Z209" s="77">
        <f t="shared" si="7"/>
        <v>-1.4119723488748348E-2</v>
      </c>
      <c r="AA209" s="77">
        <f t="shared" si="7"/>
        <v>-1.3128449947784615E-2</v>
      </c>
      <c r="AB209" s="77">
        <f t="shared" si="7"/>
        <v>-2.0559334845049126E-2</v>
      </c>
      <c r="AC209" s="77">
        <f t="shared" si="7"/>
        <v>-1.5434480629726854E-2</v>
      </c>
      <c r="AD209" s="77">
        <f t="shared" si="7"/>
        <v>-1.5676438313215746E-3</v>
      </c>
      <c r="AE209" s="77">
        <f t="shared" si="7"/>
        <v>7.2224839064216617E-3</v>
      </c>
      <c r="AF209" s="77">
        <f t="shared" si="7"/>
        <v>1.6056118472330461E-2</v>
      </c>
      <c r="AG209" s="77">
        <f t="shared" si="7"/>
        <v>1.6569499846578628E-2</v>
      </c>
      <c r="AH209" s="77">
        <f t="shared" si="7"/>
        <v>1.4186537881074601E-2</v>
      </c>
      <c r="AI209" s="77">
        <f t="shared" si="7"/>
        <v>1.1607142857142927E-2</v>
      </c>
      <c r="AJ209" s="77">
        <f t="shared" si="7"/>
        <v>8.5319211532803862E-3</v>
      </c>
      <c r="AK209" s="77">
        <f t="shared" si="7"/>
        <v>5.2508751458575365E-3</v>
      </c>
      <c r="AL209" s="77">
        <f t="shared" si="7"/>
        <v>3.0470110272780015E-3</v>
      </c>
      <c r="AM209" s="77">
        <f t="shared" si="7"/>
        <v>1.1572399826413893E-3</v>
      </c>
      <c r="AN209" s="77">
        <f t="shared" si="7"/>
        <v>-8.6692674469002196E-4</v>
      </c>
      <c r="AO209" s="77">
        <f t="shared" si="7"/>
        <v>-2.4584237165582445E-3</v>
      </c>
      <c r="AP209" s="77">
        <f t="shared" si="7"/>
        <v>-3.9141780226152889E-3</v>
      </c>
      <c r="AQ209" s="77">
        <f t="shared" si="7"/>
        <v>-5.2394120215397688E-3</v>
      </c>
      <c r="AR209" s="77">
        <f t="shared" si="7"/>
        <v>-5.8522311631309387E-3</v>
      </c>
      <c r="AS209" s="77">
        <f t="shared" si="7"/>
        <v>-6.769683590875597E-3</v>
      </c>
      <c r="AT209" s="77">
        <f t="shared" si="7"/>
        <v>-6.8158245666024575E-3</v>
      </c>
      <c r="AU209" s="77">
        <f t="shared" si="7"/>
        <v>-6.5642249738923075E-3</v>
      </c>
      <c r="AV209" s="77">
        <f t="shared" si="7"/>
        <v>-5.8567352455323185E-3</v>
      </c>
      <c r="AW209" s="77">
        <f t="shared" si="7"/>
        <v>-4.8338368580060909E-3</v>
      </c>
      <c r="AX209" s="77">
        <f t="shared" si="7"/>
        <v>-3.4911961141469439E-3</v>
      </c>
      <c r="AY209" s="77">
        <f t="shared" si="7"/>
        <v>-1.980198019801982E-3</v>
      </c>
      <c r="AZ209" s="77">
        <f t="shared" si="7"/>
        <v>-4.5787545787545625E-4</v>
      </c>
      <c r="BA209" s="77">
        <f t="shared" si="7"/>
        <v>7.6347533974652215E-4</v>
      </c>
      <c r="BB209" s="77">
        <f t="shared" si="7"/>
        <v>1.8309429356118123E-3</v>
      </c>
      <c r="BC209" s="77">
        <f t="shared" si="7"/>
        <v>2.2844958879073562E-3</v>
      </c>
      <c r="BD209" s="77">
        <f t="shared" si="7"/>
        <v>2.8870992250418226E-3</v>
      </c>
      <c r="BE209" s="77">
        <f t="shared" si="7"/>
        <v>3.0303030303029388E-3</v>
      </c>
      <c r="BF209" s="77">
        <f t="shared" si="7"/>
        <v>3.0211480362538623E-3</v>
      </c>
      <c r="BG209" s="77">
        <f t="shared" si="7"/>
        <v>2.7108433734939208E-3</v>
      </c>
      <c r="BH209" s="77">
        <f t="shared" si="7"/>
        <v>2.7035145689395801E-3</v>
      </c>
      <c r="BI209" s="77">
        <f t="shared" si="7"/>
        <v>2.5464349910124806E-3</v>
      </c>
      <c r="BJ209" s="77">
        <f t="shared" si="7"/>
        <v>2.2411474675032572E-3</v>
      </c>
      <c r="BK209" s="77">
        <f t="shared" si="7"/>
        <v>2.3852116875373586E-3</v>
      </c>
      <c r="BL209" s="77">
        <f t="shared" si="7"/>
        <v>2.3795359904819069E-3</v>
      </c>
    </row>
    <row r="210" spans="1:64" x14ac:dyDescent="0.2">
      <c r="A210" s="28" t="s">
        <v>450</v>
      </c>
      <c r="C210" s="77">
        <f>SUM(C$30:C$39,C$130:C$139)/SUM(B$30:B$39,B$130:B$139)-1</f>
        <v>3.7528554334820274E-3</v>
      </c>
      <c r="D210" s="77">
        <f t="shared" ref="D210:BL210" si="8">SUM(D$30:D$39,D$130:D$139)/SUM(C$30:C$39,C$130:C$139)-1</f>
        <v>6.6287365664228215E-3</v>
      </c>
      <c r="E210" s="77">
        <f t="shared" si="8"/>
        <v>1.2990741405296768E-2</v>
      </c>
      <c r="F210" s="77">
        <f t="shared" si="8"/>
        <v>1.8155731897406824E-2</v>
      </c>
      <c r="G210" s="77">
        <f t="shared" si="8"/>
        <v>1.2665054539760856E-2</v>
      </c>
      <c r="H210" s="77">
        <f t="shared" si="8"/>
        <v>5.2740985071038082E-3</v>
      </c>
      <c r="I210" s="77">
        <f t="shared" si="8"/>
        <v>1.2389773737097487E-2</v>
      </c>
      <c r="J210" s="77">
        <f t="shared" si="8"/>
        <v>4.1339612768184208E-2</v>
      </c>
      <c r="K210" s="77">
        <f t="shared" si="8"/>
        <v>5.5243961744204872E-2</v>
      </c>
      <c r="L210" s="77">
        <f t="shared" si="8"/>
        <v>5.540876831853514E-2</v>
      </c>
      <c r="M210" s="77">
        <f t="shared" si="8"/>
        <v>4.0753948038716237E-2</v>
      </c>
      <c r="N210" s="77">
        <f t="shared" si="8"/>
        <v>2.6124047269421746E-2</v>
      </c>
      <c r="O210" s="77">
        <f t="shared" si="8"/>
        <v>1.324737982636659E-2</v>
      </c>
      <c r="P210" s="77">
        <f t="shared" si="8"/>
        <v>2.8784719887013921E-3</v>
      </c>
      <c r="Q210" s="77">
        <f t="shared" si="8"/>
        <v>-1.0381040518247286E-2</v>
      </c>
      <c r="R210" s="77">
        <f t="shared" si="8"/>
        <v>-2.0112488988276778E-2</v>
      </c>
      <c r="S210" s="77">
        <f t="shared" si="8"/>
        <v>-2.1203026237534783E-2</v>
      </c>
      <c r="T210" s="77">
        <f t="shared" si="8"/>
        <v>-1.7762265430703139E-2</v>
      </c>
      <c r="U210" s="77">
        <f t="shared" si="8"/>
        <v>-1.8184172289277933E-2</v>
      </c>
      <c r="V210" s="77">
        <f t="shared" si="8"/>
        <v>-1.4931059240699263E-2</v>
      </c>
      <c r="W210" s="77">
        <f t="shared" si="8"/>
        <v>-7.511751056107574E-3</v>
      </c>
      <c r="X210" s="77">
        <f t="shared" si="8"/>
        <v>-8.9924014208042635E-5</v>
      </c>
      <c r="Y210" s="77">
        <f t="shared" si="8"/>
        <v>3.5523179999099597E-3</v>
      </c>
      <c r="Z210" s="77">
        <f t="shared" si="8"/>
        <v>4.0624906652328985E-3</v>
      </c>
      <c r="AA210" s="77">
        <f t="shared" si="8"/>
        <v>5.5781989111356456E-3</v>
      </c>
      <c r="AB210" s="77">
        <f t="shared" si="8"/>
        <v>8.9051937101523038E-3</v>
      </c>
      <c r="AC210" s="77">
        <f t="shared" si="8"/>
        <v>8.2254446285354721E-3</v>
      </c>
      <c r="AD210" s="77">
        <f t="shared" si="8"/>
        <v>4.3627479495085275E-3</v>
      </c>
      <c r="AE210" s="77">
        <f t="shared" si="8"/>
        <v>4.6333835283216551E-3</v>
      </c>
      <c r="AF210" s="77">
        <f t="shared" si="8"/>
        <v>2.5942580422000372E-3</v>
      </c>
      <c r="AG210" s="77">
        <f t="shared" si="8"/>
        <v>-4.3125754700712449E-4</v>
      </c>
      <c r="AH210" s="77">
        <f t="shared" si="8"/>
        <v>-2.3441769494060294E-3</v>
      </c>
      <c r="AI210" s="77">
        <f t="shared" si="8"/>
        <v>-8.0725375156764922E-4</v>
      </c>
      <c r="AJ210" s="77">
        <f t="shared" si="8"/>
        <v>-1.0531630960110006E-3</v>
      </c>
      <c r="AK210" s="77">
        <f t="shared" si="8"/>
        <v>1.6608416856820352E-3</v>
      </c>
      <c r="AL210" s="77">
        <f t="shared" si="8"/>
        <v>3.6333751459838304E-3</v>
      </c>
      <c r="AM210" s="77">
        <f t="shared" si="8"/>
        <v>5.1430131161200876E-3</v>
      </c>
      <c r="AN210" s="77">
        <f t="shared" si="8"/>
        <v>7.6464619034688486E-3</v>
      </c>
      <c r="AO210" s="77">
        <f t="shared" si="8"/>
        <v>7.7870131343791282E-3</v>
      </c>
      <c r="AP210" s="77">
        <f t="shared" si="8"/>
        <v>7.8394392760130494E-3</v>
      </c>
      <c r="AQ210" s="77">
        <f t="shared" si="8"/>
        <v>6.2283543738130831E-3</v>
      </c>
      <c r="AR210" s="77">
        <f t="shared" si="8"/>
        <v>4.0941516085157836E-3</v>
      </c>
      <c r="AS210" s="77">
        <f t="shared" si="8"/>
        <v>2.0594617755600453E-3</v>
      </c>
      <c r="AT210" s="77">
        <f t="shared" si="8"/>
        <v>1.9310877541456328E-4</v>
      </c>
      <c r="AU210" s="77">
        <f t="shared" si="8"/>
        <v>-1.4618270079435058E-3</v>
      </c>
      <c r="AV210" s="77">
        <f t="shared" si="8"/>
        <v>-2.7345800071817417E-3</v>
      </c>
      <c r="AW210" s="77">
        <f t="shared" si="8"/>
        <v>-3.7668956348326788E-3</v>
      </c>
      <c r="AX210" s="77">
        <f t="shared" si="8"/>
        <v>-4.4762010676157038E-3</v>
      </c>
      <c r="AY210" s="77">
        <f t="shared" si="8"/>
        <v>-4.8873125366548642E-3</v>
      </c>
      <c r="AZ210" s="77">
        <f t="shared" si="8"/>
        <v>-5.0656713066906667E-3</v>
      </c>
      <c r="BA210" s="77">
        <f t="shared" si="8"/>
        <v>-4.823491248607259E-3</v>
      </c>
      <c r="BB210" s="77">
        <f t="shared" si="8"/>
        <v>-4.4075339068323505E-3</v>
      </c>
      <c r="BC210" s="77">
        <f t="shared" si="8"/>
        <v>-3.7295373665480192E-3</v>
      </c>
      <c r="BD210" s="77">
        <f t="shared" si="8"/>
        <v>-2.8576327370406496E-3</v>
      </c>
      <c r="BE210" s="77">
        <f t="shared" si="8"/>
        <v>-1.9487590989855086E-3</v>
      </c>
      <c r="BF210" s="77">
        <f t="shared" si="8"/>
        <v>-1.019353356687569E-3</v>
      </c>
      <c r="BG210" s="77">
        <f t="shared" si="8"/>
        <v>-8.6230436469714178E-5</v>
      </c>
      <c r="BH210" s="77">
        <f t="shared" si="8"/>
        <v>7.4739489759245714E-4</v>
      </c>
      <c r="BI210" s="77">
        <f t="shared" si="8"/>
        <v>1.4074999640942831E-3</v>
      </c>
      <c r="BJ210" s="77">
        <f t="shared" si="8"/>
        <v>1.9361778415203368E-3</v>
      </c>
      <c r="BK210" s="77">
        <f t="shared" si="8"/>
        <v>2.3046092184368927E-3</v>
      </c>
      <c r="BL210" s="77">
        <f t="shared" si="8"/>
        <v>2.456405935362227E-3</v>
      </c>
    </row>
    <row r="211" spans="1:64" x14ac:dyDescent="0.2">
      <c r="A211" s="28" t="s">
        <v>451</v>
      </c>
      <c r="C211" s="77">
        <f>SUM(C$30:C$39)/SUM(B$30:B$39)-1</f>
        <v>3.8358128696898142E-3</v>
      </c>
      <c r="D211" s="77">
        <f t="shared" ref="D211:BL211" si="9">SUM(D$30:D$39)/SUM(C$30:C$39)-1</f>
        <v>6.3209770730661141E-3</v>
      </c>
      <c r="E211" s="77">
        <f t="shared" si="9"/>
        <v>1.0433301394655592E-2</v>
      </c>
      <c r="F211" s="77">
        <f t="shared" si="9"/>
        <v>1.8052189793839712E-2</v>
      </c>
      <c r="G211" s="77">
        <f t="shared" si="9"/>
        <v>1.2626349742988152E-2</v>
      </c>
      <c r="H211" s="77">
        <f t="shared" si="9"/>
        <v>4.5310530439819363E-3</v>
      </c>
      <c r="I211" s="77">
        <f t="shared" si="9"/>
        <v>1.0276063216441811E-2</v>
      </c>
      <c r="J211" s="77">
        <f t="shared" si="9"/>
        <v>3.1219577696465217E-2</v>
      </c>
      <c r="K211" s="77">
        <f t="shared" si="9"/>
        <v>4.1570363618607331E-2</v>
      </c>
      <c r="L211" s="77">
        <f t="shared" si="9"/>
        <v>4.716214526815854E-2</v>
      </c>
      <c r="M211" s="77">
        <f t="shared" si="9"/>
        <v>3.2860767049694095E-2</v>
      </c>
      <c r="N211" s="77">
        <f t="shared" si="9"/>
        <v>1.8089348667861049E-2</v>
      </c>
      <c r="O211" s="77">
        <f t="shared" si="9"/>
        <v>7.4931880108992654E-3</v>
      </c>
      <c r="P211" s="77">
        <f t="shared" si="9"/>
        <v>-1.4931259860265778E-3</v>
      </c>
      <c r="Q211" s="77">
        <f t="shared" si="9"/>
        <v>-1.29785853341986E-2</v>
      </c>
      <c r="R211" s="77">
        <f t="shared" si="9"/>
        <v>-2.0752937140896988E-2</v>
      </c>
      <c r="S211" s="77">
        <f t="shared" si="9"/>
        <v>-2.1630615640598982E-2</v>
      </c>
      <c r="T211" s="77">
        <f t="shared" si="9"/>
        <v>-1.7215658193101779E-2</v>
      </c>
      <c r="U211" s="77">
        <f t="shared" si="9"/>
        <v>-1.6697531801208254E-2</v>
      </c>
      <c r="V211" s="77">
        <f t="shared" si="9"/>
        <v>-1.1763252956250581E-2</v>
      </c>
      <c r="W211" s="77">
        <f t="shared" si="9"/>
        <v>-6.4671332166957862E-3</v>
      </c>
      <c r="X211" s="77">
        <f t="shared" si="9"/>
        <v>1.3836042891732792E-3</v>
      </c>
      <c r="Y211" s="77">
        <f t="shared" si="9"/>
        <v>3.9252629926205262E-3</v>
      </c>
      <c r="Z211" s="77">
        <f t="shared" si="9"/>
        <v>4.7544573037221483E-3</v>
      </c>
      <c r="AA211" s="77">
        <f t="shared" si="9"/>
        <v>5.6036361372269194E-3</v>
      </c>
      <c r="AB211" s="77">
        <f t="shared" si="9"/>
        <v>8.5134047427404269E-3</v>
      </c>
      <c r="AC211" s="77">
        <f t="shared" si="9"/>
        <v>8.2266629830862747E-3</v>
      </c>
      <c r="AD211" s="77">
        <f t="shared" si="9"/>
        <v>3.7753082660982873E-3</v>
      </c>
      <c r="AE211" s="77">
        <f t="shared" si="9"/>
        <v>4.0340926324728965E-3</v>
      </c>
      <c r="AF211" s="77">
        <f t="shared" si="9"/>
        <v>1.9636275753731613E-3</v>
      </c>
      <c r="AG211" s="77">
        <f t="shared" si="9"/>
        <v>-6.3315946573405668E-4</v>
      </c>
      <c r="AH211" s="77">
        <f t="shared" si="9"/>
        <v>-2.4739033367525698E-3</v>
      </c>
      <c r="AI211" s="77">
        <f t="shared" si="9"/>
        <v>1.2097749818540393E-4</v>
      </c>
      <c r="AJ211" s="77">
        <f t="shared" si="9"/>
        <v>-1.1491472118059232E-3</v>
      </c>
      <c r="AK211" s="77">
        <f t="shared" si="9"/>
        <v>1.271571298819163E-3</v>
      </c>
      <c r="AL211" s="77">
        <f t="shared" si="9"/>
        <v>3.3260764392839537E-3</v>
      </c>
      <c r="AM211" s="77">
        <f t="shared" si="9"/>
        <v>5.0629859562414392E-3</v>
      </c>
      <c r="AN211" s="77">
        <f t="shared" si="9"/>
        <v>8.0959520239880511E-3</v>
      </c>
      <c r="AO211" s="77">
        <f t="shared" si="9"/>
        <v>8.1796549672814578E-3</v>
      </c>
      <c r="AP211" s="77">
        <f t="shared" si="9"/>
        <v>7.9067709101636741E-3</v>
      </c>
      <c r="AQ211" s="77">
        <f t="shared" si="9"/>
        <v>6.2933583116235869E-3</v>
      </c>
      <c r="AR211" s="77">
        <f t="shared" si="9"/>
        <v>4.1014602361975072E-3</v>
      </c>
      <c r="AS211" s="77">
        <f t="shared" si="9"/>
        <v>2.0278687099857251E-3</v>
      </c>
      <c r="AT211" s="77">
        <f t="shared" si="9"/>
        <v>1.4455462719364931E-4</v>
      </c>
      <c r="AU211" s="77">
        <f t="shared" si="9"/>
        <v>-1.5609643290743769E-3</v>
      </c>
      <c r="AV211" s="77">
        <f t="shared" si="9"/>
        <v>-2.8083381586566647E-3</v>
      </c>
      <c r="AW211" s="77">
        <f t="shared" si="9"/>
        <v>-3.8904857300466889E-3</v>
      </c>
      <c r="AX211" s="77">
        <f t="shared" si="9"/>
        <v>-4.5760587600921498E-3</v>
      </c>
      <c r="AY211" s="77">
        <f t="shared" si="9"/>
        <v>-5.0070274068868548E-3</v>
      </c>
      <c r="AZ211" s="77">
        <f t="shared" si="9"/>
        <v>-5.2087931491127115E-3</v>
      </c>
      <c r="BA211" s="77">
        <f t="shared" si="9"/>
        <v>-4.9698260560880891E-3</v>
      </c>
      <c r="BB211" s="77">
        <f t="shared" si="9"/>
        <v>-4.4892377214889034E-3</v>
      </c>
      <c r="BC211" s="77">
        <f t="shared" si="9"/>
        <v>-3.8823353740480293E-3</v>
      </c>
      <c r="BD211" s="77">
        <f t="shared" si="9"/>
        <v>-2.938090241343172E-3</v>
      </c>
      <c r="BE211" s="77">
        <f t="shared" si="9"/>
        <v>-2.0446823225185318E-3</v>
      </c>
      <c r="BF211" s="77">
        <f t="shared" si="9"/>
        <v>-1.0846967368706162E-3</v>
      </c>
      <c r="BG211" s="77">
        <f t="shared" si="9"/>
        <v>-9.0489548457139968E-5</v>
      </c>
      <c r="BH211" s="77">
        <f t="shared" si="9"/>
        <v>7.2398190045253052E-4</v>
      </c>
      <c r="BI211" s="77">
        <f t="shared" si="9"/>
        <v>1.416772170977243E-3</v>
      </c>
      <c r="BJ211" s="77">
        <f t="shared" si="9"/>
        <v>1.9565937208392281E-3</v>
      </c>
      <c r="BK211" s="77">
        <f t="shared" si="9"/>
        <v>2.3132848645075477E-3</v>
      </c>
      <c r="BL211" s="77">
        <f t="shared" si="9"/>
        <v>2.5177591943170707E-3</v>
      </c>
    </row>
    <row r="212" spans="1:64" x14ac:dyDescent="0.2">
      <c r="A212" s="28" t="s">
        <v>452</v>
      </c>
      <c r="C212" s="77">
        <f>SUM(C$30:C$49,C$130:C$149)/SUM(B$30:B$49,B$130:B$149)-1</f>
        <v>-2.3214363343911915E-3</v>
      </c>
      <c r="D212" s="77">
        <f t="shared" ref="D212:BL212" si="10">SUM(D$30:D$49,D$130:D$149)/SUM(C$30:C$49,C$130:C$149)-1</f>
        <v>-3.5556175271028723E-3</v>
      </c>
      <c r="E212" s="77">
        <f t="shared" si="10"/>
        <v>5.0725905195037058E-4</v>
      </c>
      <c r="F212" s="77">
        <f t="shared" si="10"/>
        <v>3.1032011049143549E-3</v>
      </c>
      <c r="G212" s="77">
        <f t="shared" si="10"/>
        <v>-2.579453260481257E-3</v>
      </c>
      <c r="H212" s="77">
        <f t="shared" si="10"/>
        <v>-6.0634124605747353E-3</v>
      </c>
      <c r="I212" s="77">
        <f t="shared" si="10"/>
        <v>1.9514253316104124E-3</v>
      </c>
      <c r="J212" s="77">
        <f t="shared" si="10"/>
        <v>2.4283897003991806E-2</v>
      </c>
      <c r="K212" s="77">
        <f t="shared" si="10"/>
        <v>3.7883394859232755E-2</v>
      </c>
      <c r="L212" s="77">
        <f t="shared" si="10"/>
        <v>4.3969102792632109E-2</v>
      </c>
      <c r="M212" s="77">
        <f t="shared" si="10"/>
        <v>3.710554606968941E-2</v>
      </c>
      <c r="N212" s="77">
        <f t="shared" si="10"/>
        <v>3.1502004603728651E-2</v>
      </c>
      <c r="O212" s="77">
        <f t="shared" si="10"/>
        <v>2.4000413800237874E-2</v>
      </c>
      <c r="P212" s="77">
        <f t="shared" si="10"/>
        <v>1.9800979946456465E-2</v>
      </c>
      <c r="Q212" s="77">
        <f t="shared" si="10"/>
        <v>1.3232099516709894E-2</v>
      </c>
      <c r="R212" s="77">
        <f t="shared" si="10"/>
        <v>5.9220771965109442E-3</v>
      </c>
      <c r="S212" s="77">
        <f t="shared" si="10"/>
        <v>4.3945820981525774E-3</v>
      </c>
      <c r="T212" s="77">
        <f t="shared" si="10"/>
        <v>4.2302003124266019E-3</v>
      </c>
      <c r="U212" s="77">
        <f t="shared" si="10"/>
        <v>2.911498699117665E-3</v>
      </c>
      <c r="V212" s="77">
        <f t="shared" si="10"/>
        <v>2.47067785792221E-3</v>
      </c>
      <c r="W212" s="77">
        <f t="shared" si="10"/>
        <v>2.6973553594533684E-3</v>
      </c>
      <c r="X212" s="77">
        <f t="shared" si="10"/>
        <v>1.9322286174665582E-3</v>
      </c>
      <c r="Y212" s="77">
        <f t="shared" si="10"/>
        <v>-1.1584642852280336E-4</v>
      </c>
      <c r="Z212" s="77">
        <f t="shared" si="10"/>
        <v>-2.3376428654185988E-3</v>
      </c>
      <c r="AA212" s="77">
        <f t="shared" si="10"/>
        <v>-5.5469785361987878E-3</v>
      </c>
      <c r="AB212" s="77">
        <f t="shared" si="10"/>
        <v>-5.9626032121120609E-3</v>
      </c>
      <c r="AC212" s="77">
        <f t="shared" si="10"/>
        <v>-6.6203198208781844E-3</v>
      </c>
      <c r="AD212" s="77">
        <f t="shared" si="10"/>
        <v>-6.594874363469394E-3</v>
      </c>
      <c r="AE212" s="77">
        <f t="shared" si="10"/>
        <v>-6.5056022408963576E-3</v>
      </c>
      <c r="AF212" s="77">
        <f t="shared" si="10"/>
        <v>-5.8362878953415187E-3</v>
      </c>
      <c r="AG212" s="77">
        <f t="shared" si="10"/>
        <v>-3.7364491679842127E-3</v>
      </c>
      <c r="AH212" s="77">
        <f t="shared" si="10"/>
        <v>-1.1671268752312391E-3</v>
      </c>
      <c r="AI212" s="77">
        <f t="shared" si="10"/>
        <v>1.310989512083971E-3</v>
      </c>
      <c r="AJ212" s="77">
        <f t="shared" si="10"/>
        <v>1.4587009734161605E-3</v>
      </c>
      <c r="AK212" s="77">
        <f t="shared" si="10"/>
        <v>3.5242040343610448E-3</v>
      </c>
      <c r="AL212" s="77">
        <f t="shared" si="10"/>
        <v>6.074895388602064E-3</v>
      </c>
      <c r="AM212" s="77">
        <f t="shared" si="10"/>
        <v>6.4604665892535884E-3</v>
      </c>
      <c r="AN212" s="77">
        <f t="shared" si="10"/>
        <v>5.9015613965163194E-3</v>
      </c>
      <c r="AO212" s="77">
        <f t="shared" si="10"/>
        <v>6.0615750363208765E-3</v>
      </c>
      <c r="AP212" s="77">
        <f t="shared" si="10"/>
        <v>5.0784569782145184E-3</v>
      </c>
      <c r="AQ212" s="77">
        <f t="shared" si="10"/>
        <v>2.8941868778529223E-3</v>
      </c>
      <c r="AR212" s="77">
        <f t="shared" si="10"/>
        <v>9.5280529183949803E-4</v>
      </c>
      <c r="AS212" s="77">
        <f t="shared" si="10"/>
        <v>6.7112255519630182E-4</v>
      </c>
      <c r="AT212" s="77">
        <f t="shared" si="10"/>
        <v>-3.6955420812745388E-4</v>
      </c>
      <c r="AU212" s="77">
        <f t="shared" si="10"/>
        <v>8.2153517539707011E-5</v>
      </c>
      <c r="AV212" s="77">
        <f t="shared" si="10"/>
        <v>4.2442497261774292E-4</v>
      </c>
      <c r="AW212" s="77">
        <f t="shared" si="10"/>
        <v>5.7478342981487351E-4</v>
      </c>
      <c r="AX212" s="77">
        <f t="shared" si="10"/>
        <v>1.4840042126571529E-3</v>
      </c>
      <c r="AY212" s="77">
        <f t="shared" si="10"/>
        <v>1.3930334669460809E-3</v>
      </c>
      <c r="AZ212" s="77">
        <f t="shared" si="10"/>
        <v>1.3774574317919619E-3</v>
      </c>
      <c r="BA212" s="77">
        <f t="shared" si="10"/>
        <v>7.2182990691116444E-4</v>
      </c>
      <c r="BB212" s="77">
        <f t="shared" si="10"/>
        <v>-1.1568167125985962E-4</v>
      </c>
      <c r="BC212" s="77">
        <f t="shared" si="10"/>
        <v>-7.4861506213508289E-4</v>
      </c>
      <c r="BD212" s="77">
        <f t="shared" si="10"/>
        <v>-1.2259242106410495E-3</v>
      </c>
      <c r="BE212" s="77">
        <f t="shared" si="10"/>
        <v>-1.6229338279417638E-3</v>
      </c>
      <c r="BF212" s="77">
        <f t="shared" si="10"/>
        <v>-1.8168157912711314E-3</v>
      </c>
      <c r="BG212" s="77">
        <f t="shared" si="10"/>
        <v>-1.8748631486752432E-3</v>
      </c>
      <c r="BH212" s="77">
        <f t="shared" si="10"/>
        <v>-1.8372523479810443E-3</v>
      </c>
      <c r="BI212" s="77">
        <f t="shared" si="10"/>
        <v>-1.689537231631455E-3</v>
      </c>
      <c r="BJ212" s="77">
        <f t="shared" si="10"/>
        <v>-1.513525413467609E-3</v>
      </c>
      <c r="BK212" s="77">
        <f t="shared" si="10"/>
        <v>-1.2333259839047983E-3</v>
      </c>
      <c r="BL212" s="77">
        <f t="shared" si="10"/>
        <v>-9.244120670267586E-4</v>
      </c>
    </row>
    <row r="213" spans="1:64" x14ac:dyDescent="0.2">
      <c r="A213" s="28" t="s">
        <v>453</v>
      </c>
      <c r="C213" s="77">
        <f>SUM(C$40:C$54,C$140:C$154)/SUM(B$40:B$54,B$140:B$154)-1</f>
        <v>-8.9679282565739982E-3</v>
      </c>
      <c r="D213" s="77">
        <f t="shared" ref="D213:BL213" si="11">SUM(D$40:D$54,D$140:D$154)/SUM(C$40:C$54,C$140:C$154)-1</f>
        <v>-1.2762927256792289E-2</v>
      </c>
      <c r="E213" s="77">
        <f t="shared" si="11"/>
        <v>-8.8886422904067564E-3</v>
      </c>
      <c r="F213" s="77">
        <f t="shared" si="11"/>
        <v>-6.8298363078577173E-3</v>
      </c>
      <c r="G213" s="77">
        <f t="shared" si="11"/>
        <v>-8.9398448773448935E-3</v>
      </c>
      <c r="H213" s="77">
        <f t="shared" si="11"/>
        <v>-1.0180750986793496E-2</v>
      </c>
      <c r="I213" s="77">
        <f t="shared" si="11"/>
        <v>-7.0676657166498513E-3</v>
      </c>
      <c r="J213" s="77">
        <f t="shared" si="11"/>
        <v>3.0092244302726279E-4</v>
      </c>
      <c r="K213" s="77">
        <f t="shared" si="11"/>
        <v>6.6645839841716903E-3</v>
      </c>
      <c r="L213" s="77">
        <f t="shared" si="11"/>
        <v>1.0884682137397572E-2</v>
      </c>
      <c r="M213" s="77">
        <f t="shared" si="11"/>
        <v>1.3723706651506573E-2</v>
      </c>
      <c r="N213" s="77">
        <f t="shared" si="11"/>
        <v>1.8697354105678743E-2</v>
      </c>
      <c r="O213" s="77">
        <f t="shared" si="11"/>
        <v>2.2317889544613667E-2</v>
      </c>
      <c r="P213" s="77">
        <f t="shared" si="11"/>
        <v>2.738796566542101E-2</v>
      </c>
      <c r="Q213" s="77">
        <f t="shared" si="11"/>
        <v>3.0913893955594629E-2</v>
      </c>
      <c r="R213" s="77">
        <f t="shared" si="11"/>
        <v>2.7587118554447176E-2</v>
      </c>
      <c r="S213" s="77">
        <f t="shared" si="11"/>
        <v>2.8024065864471259E-2</v>
      </c>
      <c r="T213" s="77">
        <f t="shared" si="11"/>
        <v>2.3756352995533581E-2</v>
      </c>
      <c r="U213" s="77">
        <f t="shared" si="11"/>
        <v>2.2405882131708577E-2</v>
      </c>
      <c r="V213" s="77">
        <f t="shared" si="11"/>
        <v>1.9744525883077735E-2</v>
      </c>
      <c r="W213" s="77">
        <f t="shared" si="11"/>
        <v>1.6259942643796377E-2</v>
      </c>
      <c r="X213" s="77">
        <f t="shared" si="11"/>
        <v>1.2263841191243241E-2</v>
      </c>
      <c r="Y213" s="77">
        <f t="shared" si="11"/>
        <v>8.924266465622388E-3</v>
      </c>
      <c r="Z213" s="77">
        <f t="shared" si="11"/>
        <v>8.1241473989694946E-3</v>
      </c>
      <c r="AA213" s="77">
        <f t="shared" si="11"/>
        <v>4.5938771288698277E-3</v>
      </c>
      <c r="AB213" s="77">
        <f t="shared" si="11"/>
        <v>-4.5471314464162749E-4</v>
      </c>
      <c r="AC213" s="77">
        <f t="shared" si="11"/>
        <v>-3.845361532651248E-3</v>
      </c>
      <c r="AD213" s="77">
        <f t="shared" si="11"/>
        <v>-5.6265940580410012E-3</v>
      </c>
      <c r="AE213" s="77">
        <f t="shared" si="11"/>
        <v>-9.6704591735050638E-3</v>
      </c>
      <c r="AF213" s="77">
        <f t="shared" si="11"/>
        <v>-1.1759867701488402E-2</v>
      </c>
      <c r="AG213" s="77">
        <f t="shared" si="11"/>
        <v>-8.9602719956084487E-3</v>
      </c>
      <c r="AH213" s="77">
        <f t="shared" si="11"/>
        <v>-6.923908479330998E-3</v>
      </c>
      <c r="AI213" s="77">
        <f t="shared" si="11"/>
        <v>-5.3888229155421019E-3</v>
      </c>
      <c r="AJ213" s="77">
        <f t="shared" si="11"/>
        <v>-4.1607496585471804E-3</v>
      </c>
      <c r="AK213" s="77">
        <f t="shared" si="11"/>
        <v>-4.1418022289435585E-3</v>
      </c>
      <c r="AL213" s="77">
        <f t="shared" si="11"/>
        <v>-3.0554263459836584E-3</v>
      </c>
      <c r="AM213" s="77">
        <f t="shared" si="11"/>
        <v>-1.5827127513585726E-3</v>
      </c>
      <c r="AN213" s="77">
        <f t="shared" si="11"/>
        <v>-7.7886615414224369E-4</v>
      </c>
      <c r="AO213" s="77">
        <f t="shared" si="11"/>
        <v>-1.6506492553737262E-3</v>
      </c>
      <c r="AP213" s="77">
        <f t="shared" si="11"/>
        <v>1.6533784032035648E-4</v>
      </c>
      <c r="AQ213" s="77">
        <f t="shared" si="11"/>
        <v>3.9031647778411394E-3</v>
      </c>
      <c r="AR213" s="77">
        <f t="shared" si="11"/>
        <v>5.3059618885564763E-3</v>
      </c>
      <c r="AS213" s="77">
        <f t="shared" si="11"/>
        <v>5.3962562903240308E-3</v>
      </c>
      <c r="AT213" s="77">
        <f t="shared" si="11"/>
        <v>6.4262698671300189E-3</v>
      </c>
      <c r="AU213" s="77">
        <f t="shared" si="11"/>
        <v>5.9445653542458121E-3</v>
      </c>
      <c r="AV213" s="77">
        <f t="shared" si="11"/>
        <v>3.7369809127889564E-3</v>
      </c>
      <c r="AW213" s="77">
        <f t="shared" si="11"/>
        <v>1.6833967204938904E-3</v>
      </c>
      <c r="AX213" s="77">
        <f t="shared" si="11"/>
        <v>1.8406217211146547E-3</v>
      </c>
      <c r="AY213" s="77">
        <f t="shared" si="11"/>
        <v>9.053066948316868E-4</v>
      </c>
      <c r="AZ213" s="77">
        <f t="shared" si="11"/>
        <v>1.8001081838416866E-3</v>
      </c>
      <c r="BA213" s="77">
        <f t="shared" si="11"/>
        <v>2.4164852089860744E-3</v>
      </c>
      <c r="BB213" s="77">
        <f t="shared" si="11"/>
        <v>2.7373793566276561E-3</v>
      </c>
      <c r="BC213" s="77">
        <f t="shared" si="11"/>
        <v>3.839481493875363E-3</v>
      </c>
      <c r="BD213" s="77">
        <f t="shared" si="11"/>
        <v>3.5879396103268846E-3</v>
      </c>
      <c r="BE213" s="77">
        <f t="shared" si="11"/>
        <v>3.2953969336200206E-3</v>
      </c>
      <c r="BF213" s="77">
        <f t="shared" si="11"/>
        <v>2.1083996201396449E-3</v>
      </c>
      <c r="BG213" s="77">
        <f t="shared" si="11"/>
        <v>6.9552516496984573E-4</v>
      </c>
      <c r="BH213" s="77">
        <f t="shared" si="11"/>
        <v>-5.5603339675591723E-4</v>
      </c>
      <c r="BI213" s="77">
        <f t="shared" si="11"/>
        <v>-1.5299425402262035E-3</v>
      </c>
      <c r="BJ213" s="77">
        <f t="shared" si="11"/>
        <v>-2.3593735036261387E-3</v>
      </c>
      <c r="BK213" s="77">
        <f t="shared" si="11"/>
        <v>-2.8449253861593249E-3</v>
      </c>
      <c r="BL213" s="77">
        <f t="shared" si="11"/>
        <v>-3.0805853112091386E-3</v>
      </c>
    </row>
    <row r="214" spans="1:64" x14ac:dyDescent="0.2">
      <c r="A214" s="28" t="s">
        <v>454</v>
      </c>
      <c r="C214" s="77">
        <f>SUM(C$40:C$54)/SUM(B$40:B$54)-1</f>
        <v>-7.8807463775669717E-3</v>
      </c>
      <c r="D214" s="77">
        <f t="shared" ref="D214:BL214" si="12">SUM(D$40:D$54)/SUM(C$40:C$54)-1</f>
        <v>-1.1999075377729262E-2</v>
      </c>
      <c r="E214" s="77">
        <f t="shared" si="12"/>
        <v>-7.4655436447167434E-3</v>
      </c>
      <c r="F214" s="77">
        <f t="shared" si="12"/>
        <v>-5.0573234758384267E-3</v>
      </c>
      <c r="G214" s="77">
        <f t="shared" si="12"/>
        <v>-7.8614658941609239E-3</v>
      </c>
      <c r="H214" s="77">
        <f t="shared" si="12"/>
        <v>-9.7038902396665572E-3</v>
      </c>
      <c r="I214" s="77">
        <f t="shared" si="12"/>
        <v>-7.3218317732424154E-3</v>
      </c>
      <c r="J214" s="77">
        <f t="shared" si="12"/>
        <v>-1.8329174303822748E-3</v>
      </c>
      <c r="K214" s="77">
        <f t="shared" si="12"/>
        <v>3.9823008849557695E-3</v>
      </c>
      <c r="L214" s="77">
        <f t="shared" si="12"/>
        <v>6.8973115910091476E-3</v>
      </c>
      <c r="M214" s="77">
        <f t="shared" si="12"/>
        <v>1.0220383866237803E-2</v>
      </c>
      <c r="N214" s="77">
        <f t="shared" si="12"/>
        <v>1.5641247833622085E-2</v>
      </c>
      <c r="O214" s="77">
        <f t="shared" si="12"/>
        <v>1.819461627063701E-2</v>
      </c>
      <c r="P214" s="77">
        <f t="shared" si="12"/>
        <v>2.3190531056876518E-2</v>
      </c>
      <c r="Q214" s="77">
        <f t="shared" si="12"/>
        <v>2.7107817042709037E-2</v>
      </c>
      <c r="R214" s="77">
        <f t="shared" si="12"/>
        <v>2.3242833791811135E-2</v>
      </c>
      <c r="S214" s="77">
        <f t="shared" si="12"/>
        <v>2.3046053144237577E-2</v>
      </c>
      <c r="T214" s="77">
        <f t="shared" si="12"/>
        <v>1.8318575645053903E-2</v>
      </c>
      <c r="U214" s="77">
        <f t="shared" si="12"/>
        <v>1.7072760252071051E-2</v>
      </c>
      <c r="V214" s="77">
        <f t="shared" si="12"/>
        <v>1.4340871483728534E-2</v>
      </c>
      <c r="W214" s="77">
        <f t="shared" si="12"/>
        <v>1.1528004350190413E-2</v>
      </c>
      <c r="X214" s="77">
        <f t="shared" si="12"/>
        <v>7.9202953087482708E-3</v>
      </c>
      <c r="Y214" s="77">
        <f t="shared" si="12"/>
        <v>4.6757218034418901E-3</v>
      </c>
      <c r="Z214" s="77">
        <f t="shared" si="12"/>
        <v>3.8399603616994238E-3</v>
      </c>
      <c r="AA214" s="77">
        <f t="shared" si="12"/>
        <v>1.6570300380764902E-3</v>
      </c>
      <c r="AB214" s="77">
        <f t="shared" si="12"/>
        <v>-2.7102178733589E-3</v>
      </c>
      <c r="AC214" s="77">
        <f t="shared" si="12"/>
        <v>-6.8292510764452752E-3</v>
      </c>
      <c r="AD214" s="77">
        <f t="shared" si="12"/>
        <v>-7.5513938984737017E-3</v>
      </c>
      <c r="AE214" s="77">
        <f t="shared" si="12"/>
        <v>-1.1386422228587767E-2</v>
      </c>
      <c r="AF214" s="77">
        <f t="shared" si="12"/>
        <v>-1.2893879029337252E-2</v>
      </c>
      <c r="AG214" s="77">
        <f t="shared" si="12"/>
        <v>-9.594921846334481E-3</v>
      </c>
      <c r="AH214" s="77">
        <f t="shared" si="12"/>
        <v>-7.0204686486987633E-3</v>
      </c>
      <c r="AI214" s="77">
        <f t="shared" si="12"/>
        <v>-5.6896616050442494E-3</v>
      </c>
      <c r="AJ214" s="77">
        <f t="shared" si="12"/>
        <v>-3.2081949681994626E-3</v>
      </c>
      <c r="AK214" s="77">
        <f t="shared" si="12"/>
        <v>-2.2774327122153659E-3</v>
      </c>
      <c r="AL214" s="77">
        <f t="shared" si="12"/>
        <v>-2.3203606934671939E-3</v>
      </c>
      <c r="AM214" s="77">
        <f t="shared" si="12"/>
        <v>-7.5634383390688065E-4</v>
      </c>
      <c r="AN214" s="77">
        <f t="shared" si="12"/>
        <v>-1.8922908072516176E-4</v>
      </c>
      <c r="AO214" s="77">
        <f t="shared" si="12"/>
        <v>-1.608751608751624E-3</v>
      </c>
      <c r="AP214" s="77">
        <f t="shared" si="12"/>
        <v>-7.5827946389606105E-5</v>
      </c>
      <c r="AQ214" s="77">
        <f t="shared" si="12"/>
        <v>3.3177242307620425E-3</v>
      </c>
      <c r="AR214" s="77">
        <f t="shared" si="12"/>
        <v>5.1774309360945736E-3</v>
      </c>
      <c r="AS214" s="77">
        <f t="shared" si="12"/>
        <v>5.1883600270696828E-3</v>
      </c>
      <c r="AT214" s="77">
        <f t="shared" si="12"/>
        <v>6.2088569718732334E-3</v>
      </c>
      <c r="AU214" s="77">
        <f t="shared" si="12"/>
        <v>5.5014497063414769E-3</v>
      </c>
      <c r="AV214" s="77">
        <f t="shared" si="12"/>
        <v>3.5674676524952709E-3</v>
      </c>
      <c r="AW214" s="77">
        <f t="shared" si="12"/>
        <v>1.5655793564548492E-3</v>
      </c>
      <c r="AX214" s="77">
        <f t="shared" si="12"/>
        <v>2.4090624885064749E-3</v>
      </c>
      <c r="AY214" s="77">
        <f t="shared" si="12"/>
        <v>7.70514960832136E-4</v>
      </c>
      <c r="AZ214" s="77">
        <f t="shared" si="12"/>
        <v>1.558174918883326E-3</v>
      </c>
      <c r="BA214" s="77">
        <f t="shared" si="12"/>
        <v>2.1597481514019634E-3</v>
      </c>
      <c r="BB214" s="77">
        <f t="shared" si="12"/>
        <v>2.6299448442121953E-3</v>
      </c>
      <c r="BC214" s="77">
        <f t="shared" si="12"/>
        <v>3.9527851652154666E-3</v>
      </c>
      <c r="BD214" s="77">
        <f t="shared" si="12"/>
        <v>3.7557833620611714E-3</v>
      </c>
      <c r="BE214" s="77">
        <f t="shared" si="12"/>
        <v>3.235602472795529E-3</v>
      </c>
      <c r="BF214" s="77">
        <f t="shared" si="12"/>
        <v>2.0720347381129045E-3</v>
      </c>
      <c r="BG214" s="77">
        <f t="shared" si="12"/>
        <v>5.9335443037977775E-4</v>
      </c>
      <c r="BH214" s="77">
        <f t="shared" si="12"/>
        <v>-6.2894211935526911E-4</v>
      </c>
      <c r="BI214" s="77">
        <f t="shared" si="12"/>
        <v>-1.5823353831768694E-3</v>
      </c>
      <c r="BJ214" s="77">
        <f t="shared" si="12"/>
        <v>-2.4312934481144355E-3</v>
      </c>
      <c r="BK214" s="77">
        <f t="shared" si="12"/>
        <v>-2.9246628513657225E-3</v>
      </c>
      <c r="BL214" s="77">
        <f t="shared" si="12"/>
        <v>-3.150518749207798E-3</v>
      </c>
    </row>
    <row r="215" spans="1:64" x14ac:dyDescent="0.2">
      <c r="A215" s="28" t="s">
        <v>455</v>
      </c>
      <c r="C215" s="77">
        <f>SUM(C$50:C$59,C$150:C$159)/SUM(B$50:B$59,B$150:B$159)-1</f>
        <v>7.2491476276965727E-3</v>
      </c>
      <c r="D215" s="77">
        <f t="shared" ref="D215:BL215" si="13">SUM(D$50:D$59,D$150:D$159)/SUM(C$50:C$59,C$150:C$159)-1</f>
        <v>5.0932443333702171E-3</v>
      </c>
      <c r="E215" s="77">
        <f t="shared" si="13"/>
        <v>3.0687880647750632E-3</v>
      </c>
      <c r="F215" s="77">
        <f t="shared" si="13"/>
        <v>1.3649628165302019E-3</v>
      </c>
      <c r="G215" s="77">
        <f t="shared" si="13"/>
        <v>-1.6294555424990476E-3</v>
      </c>
      <c r="H215" s="77">
        <f t="shared" si="13"/>
        <v>-6.2616719762715878E-3</v>
      </c>
      <c r="I215" s="77">
        <f t="shared" si="13"/>
        <v>-7.3592116484002545E-3</v>
      </c>
      <c r="J215" s="77">
        <f t="shared" si="13"/>
        <v>-5.7591956217385443E-3</v>
      </c>
      <c r="K215" s="77">
        <f t="shared" si="13"/>
        <v>-3.9043748199827366E-3</v>
      </c>
      <c r="L215" s="77">
        <f t="shared" si="13"/>
        <v>-4.2409638554217199E-3</v>
      </c>
      <c r="M215" s="77">
        <f t="shared" si="13"/>
        <v>-5.3560481399025361E-3</v>
      </c>
      <c r="N215" s="77">
        <f t="shared" si="13"/>
        <v>-8.790994907062033E-3</v>
      </c>
      <c r="O215" s="77">
        <f t="shared" si="13"/>
        <v>-8.2471527686870383E-3</v>
      </c>
      <c r="P215" s="77">
        <f t="shared" si="13"/>
        <v>-7.771251319957706E-3</v>
      </c>
      <c r="Q215" s="77">
        <f t="shared" si="13"/>
        <v>-1.0176763057685001E-2</v>
      </c>
      <c r="R215" s="77">
        <f t="shared" si="13"/>
        <v>-7.543049139017266E-3</v>
      </c>
      <c r="S215" s="77">
        <f t="shared" si="13"/>
        <v>-8.2944004333396215E-4</v>
      </c>
      <c r="T215" s="77">
        <f t="shared" si="13"/>
        <v>4.3200569231029995E-3</v>
      </c>
      <c r="U215" s="77">
        <f t="shared" si="13"/>
        <v>1.091393677676189E-2</v>
      </c>
      <c r="V215" s="77">
        <f t="shared" si="13"/>
        <v>1.7320495920172263E-2</v>
      </c>
      <c r="W215" s="77">
        <f t="shared" si="13"/>
        <v>2.1158987649056105E-2</v>
      </c>
      <c r="X215" s="77">
        <f t="shared" si="13"/>
        <v>2.8205663620155086E-2</v>
      </c>
      <c r="Y215" s="77">
        <f t="shared" si="13"/>
        <v>2.9244059800353162E-2</v>
      </c>
      <c r="Z215" s="77">
        <f t="shared" si="13"/>
        <v>3.4074523791454814E-2</v>
      </c>
      <c r="AA215" s="77">
        <f t="shared" si="13"/>
        <v>3.6503742844561815E-2</v>
      </c>
      <c r="AB215" s="77">
        <f t="shared" si="13"/>
        <v>3.2895761643796817E-2</v>
      </c>
      <c r="AC215" s="77">
        <f t="shared" si="13"/>
        <v>2.9613380860981531E-2</v>
      </c>
      <c r="AD215" s="77">
        <f t="shared" si="13"/>
        <v>2.4806924101198335E-2</v>
      </c>
      <c r="AE215" s="77">
        <f t="shared" si="13"/>
        <v>2.1841664176292408E-2</v>
      </c>
      <c r="AF215" s="77">
        <f t="shared" si="13"/>
        <v>1.7509282335588239E-2</v>
      </c>
      <c r="AG215" s="77">
        <f t="shared" si="13"/>
        <v>1.1247047649991959E-2</v>
      </c>
      <c r="AH215" s="77">
        <f t="shared" si="13"/>
        <v>3.6331730947467555E-3</v>
      </c>
      <c r="AI215" s="77">
        <f t="shared" si="13"/>
        <v>-3.0043711137105467E-3</v>
      </c>
      <c r="AJ215" s="77">
        <f t="shared" si="13"/>
        <v>-7.3977102913388437E-3</v>
      </c>
      <c r="AK215" s="77">
        <f t="shared" si="13"/>
        <v>-1.4544866371373089E-2</v>
      </c>
      <c r="AL215" s="77">
        <f t="shared" si="13"/>
        <v>-1.8269509993308342E-2</v>
      </c>
      <c r="AM215" s="77">
        <f t="shared" si="13"/>
        <v>-1.9316837285868638E-2</v>
      </c>
      <c r="AN215" s="77">
        <f t="shared" si="13"/>
        <v>-1.6064731030503321E-2</v>
      </c>
      <c r="AO215" s="77">
        <f t="shared" si="13"/>
        <v>-1.6473630196324085E-2</v>
      </c>
      <c r="AP215" s="77">
        <f t="shared" si="13"/>
        <v>-1.3375252395213644E-2</v>
      </c>
      <c r="AQ215" s="77">
        <f t="shared" si="13"/>
        <v>-6.6615388841578804E-3</v>
      </c>
      <c r="AR215" s="77">
        <f t="shared" si="13"/>
        <v>1.2444518189735909E-4</v>
      </c>
      <c r="AS215" s="77">
        <f t="shared" si="13"/>
        <v>3.5393336098437089E-3</v>
      </c>
      <c r="AT215" s="77">
        <f t="shared" si="13"/>
        <v>3.8574931805031021E-3</v>
      </c>
      <c r="AU215" s="77">
        <f t="shared" si="13"/>
        <v>5.3111190404304676E-3</v>
      </c>
      <c r="AV215" s="77">
        <f t="shared" si="13"/>
        <v>8.3273040012012967E-3</v>
      </c>
      <c r="AW215" s="77">
        <f t="shared" si="13"/>
        <v>7.7034509835776088E-3</v>
      </c>
      <c r="AX215" s="77">
        <f t="shared" si="13"/>
        <v>4.1648753224419188E-3</v>
      </c>
      <c r="AY215" s="77">
        <f t="shared" si="13"/>
        <v>4.3616708142677485E-3</v>
      </c>
      <c r="AZ215" s="77">
        <f t="shared" si="13"/>
        <v>2.4777535034901099E-3</v>
      </c>
      <c r="BA215" s="77">
        <f t="shared" si="13"/>
        <v>-2.2590161320323876E-4</v>
      </c>
      <c r="BB215" s="77">
        <f t="shared" si="13"/>
        <v>-1.9538259101240518E-3</v>
      </c>
      <c r="BC215" s="77">
        <f t="shared" si="13"/>
        <v>-5.8596351045414607E-4</v>
      </c>
      <c r="BD215" s="77">
        <f t="shared" si="13"/>
        <v>-7.9950963409114451E-4</v>
      </c>
      <c r="BE215" s="77">
        <f t="shared" si="13"/>
        <v>1.6803136585497036E-3</v>
      </c>
      <c r="BF215" s="77">
        <f t="shared" si="13"/>
        <v>3.5413782085418344E-3</v>
      </c>
      <c r="BG215" s="77">
        <f t="shared" si="13"/>
        <v>4.8422616678607255E-3</v>
      </c>
      <c r="BH215" s="77">
        <f t="shared" si="13"/>
        <v>7.1293716911133842E-3</v>
      </c>
      <c r="BI215" s="77">
        <f t="shared" si="13"/>
        <v>7.3279760890367918E-3</v>
      </c>
      <c r="BJ215" s="77">
        <f t="shared" si="13"/>
        <v>7.3527497982874834E-3</v>
      </c>
      <c r="BK215" s="77">
        <f t="shared" si="13"/>
        <v>5.8263464544550114E-3</v>
      </c>
      <c r="BL215" s="77">
        <f t="shared" si="13"/>
        <v>3.8788563795628672E-3</v>
      </c>
    </row>
    <row r="216" spans="1:64" x14ac:dyDescent="0.2">
      <c r="A216" s="28" t="s">
        <v>456</v>
      </c>
      <c r="C216" s="77">
        <f>SUM(C$55:C$64,C$155:C$164)/SUM(B$55:B$64,B$155:B$164)-1</f>
        <v>2.5930418578485659E-2</v>
      </c>
      <c r="D216" s="77">
        <f t="shared" ref="D216:BL216" si="14">SUM(D$55:D$64,D$155:D$164)/SUM(C$55:C$64,C$155:C$164)-1</f>
        <v>2.3492922992563114E-2</v>
      </c>
      <c r="E216" s="77">
        <f t="shared" si="14"/>
        <v>1.8349545446935345E-2</v>
      </c>
      <c r="F216" s="77">
        <f t="shared" si="14"/>
        <v>1.3119605425400804E-2</v>
      </c>
      <c r="G216" s="77">
        <f t="shared" si="14"/>
        <v>6.5397659964623323E-3</v>
      </c>
      <c r="H216" s="77">
        <f t="shared" si="14"/>
        <v>3.385676974172025E-3</v>
      </c>
      <c r="I216" s="77">
        <f t="shared" si="14"/>
        <v>5.3023973263062185E-3</v>
      </c>
      <c r="J216" s="77">
        <f t="shared" si="14"/>
        <v>4.8908352779464259E-3</v>
      </c>
      <c r="K216" s="77">
        <f t="shared" si="14"/>
        <v>4.8670314289349648E-3</v>
      </c>
      <c r="L216" s="77">
        <f t="shared" si="14"/>
        <v>5.5240748361771175E-3</v>
      </c>
      <c r="M216" s="77">
        <f t="shared" si="14"/>
        <v>1.5583924945299366E-3</v>
      </c>
      <c r="N216" s="77">
        <f t="shared" si="14"/>
        <v>-2.247508880017568E-3</v>
      </c>
      <c r="O216" s="77">
        <f t="shared" si="14"/>
        <v>-4.2216026337760226E-3</v>
      </c>
      <c r="P216" s="77">
        <f t="shared" si="14"/>
        <v>-4.9355374515541728E-3</v>
      </c>
      <c r="Q216" s="77">
        <f t="shared" si="14"/>
        <v>-7.9805414686103804E-3</v>
      </c>
      <c r="R216" s="77">
        <f t="shared" si="14"/>
        <v>-9.1344689988942518E-3</v>
      </c>
      <c r="S216" s="77">
        <f t="shared" si="14"/>
        <v>-1.187106791091852E-2</v>
      </c>
      <c r="T216" s="77">
        <f t="shared" si="14"/>
        <v>-1.0704289899667763E-2</v>
      </c>
      <c r="U216" s="77">
        <f t="shared" si="14"/>
        <v>-9.3476498519265983E-3</v>
      </c>
      <c r="V216" s="77">
        <f t="shared" si="14"/>
        <v>-1.0955609739804251E-2</v>
      </c>
      <c r="W216" s="77">
        <f t="shared" si="14"/>
        <v>-7.2439296207490456E-3</v>
      </c>
      <c r="X216" s="77">
        <f t="shared" si="14"/>
        <v>-6.633442756790453E-4</v>
      </c>
      <c r="Y216" s="77">
        <f t="shared" si="14"/>
        <v>4.5613915648297088E-3</v>
      </c>
      <c r="Z216" s="77">
        <f t="shared" si="14"/>
        <v>1.1046728338585554E-2</v>
      </c>
      <c r="AA216" s="77">
        <f t="shared" si="14"/>
        <v>1.7444783322720037E-2</v>
      </c>
      <c r="AB216" s="77">
        <f t="shared" si="14"/>
        <v>2.129622004446996E-2</v>
      </c>
      <c r="AC216" s="77">
        <f t="shared" si="14"/>
        <v>2.8302799638756371E-2</v>
      </c>
      <c r="AD216" s="77">
        <f t="shared" si="14"/>
        <v>2.9295986700751175E-2</v>
      </c>
      <c r="AE216" s="77">
        <f t="shared" si="14"/>
        <v>3.4175922963233907E-2</v>
      </c>
      <c r="AF216" s="77">
        <f t="shared" si="14"/>
        <v>3.6553024722279615E-2</v>
      </c>
      <c r="AG216" s="77">
        <f t="shared" si="14"/>
        <v>3.2975623623054506E-2</v>
      </c>
      <c r="AH216" s="77">
        <f t="shared" si="14"/>
        <v>2.9638802889576876E-2</v>
      </c>
      <c r="AI216" s="77">
        <f t="shared" si="14"/>
        <v>2.4883400820537416E-2</v>
      </c>
      <c r="AJ216" s="77">
        <f t="shared" si="14"/>
        <v>2.1919130015255917E-2</v>
      </c>
      <c r="AK216" s="77">
        <f t="shared" si="14"/>
        <v>1.7570050528249892E-2</v>
      </c>
      <c r="AL216" s="77">
        <f t="shared" si="14"/>
        <v>1.1348104678428506E-2</v>
      </c>
      <c r="AM216" s="77">
        <f t="shared" si="14"/>
        <v>3.6947950504624405E-3</v>
      </c>
      <c r="AN216" s="77">
        <f t="shared" si="14"/>
        <v>-2.8535428402015617E-3</v>
      </c>
      <c r="AO216" s="77">
        <f t="shared" si="14"/>
        <v>-7.3462915474288293E-3</v>
      </c>
      <c r="AP216" s="77">
        <f t="shared" si="14"/>
        <v>-1.4376996805111841E-2</v>
      </c>
      <c r="AQ216" s="77">
        <f t="shared" si="14"/>
        <v>-1.8144752836304678E-2</v>
      </c>
      <c r="AR216" s="77">
        <f t="shared" si="14"/>
        <v>-1.9137768721870452E-2</v>
      </c>
      <c r="AS216" s="77">
        <f t="shared" si="14"/>
        <v>-1.5908702454673351E-2</v>
      </c>
      <c r="AT216" s="77">
        <f t="shared" si="14"/>
        <v>-1.629948295902417E-2</v>
      </c>
      <c r="AU216" s="77">
        <f t="shared" si="14"/>
        <v>-1.3242064947235455E-2</v>
      </c>
      <c r="AV216" s="77">
        <f t="shared" si="14"/>
        <v>-6.5240730035510675E-3</v>
      </c>
      <c r="AW216" s="77">
        <f t="shared" si="14"/>
        <v>2.4937655860357566E-4</v>
      </c>
      <c r="AX216" s="77">
        <f t="shared" si="14"/>
        <v>3.5596553921162233E-3</v>
      </c>
      <c r="AY216" s="77">
        <f t="shared" si="14"/>
        <v>4.0024843006003508E-3</v>
      </c>
      <c r="AZ216" s="77">
        <f t="shared" si="14"/>
        <v>5.416179806172261E-3</v>
      </c>
      <c r="BA216" s="77">
        <f t="shared" si="14"/>
        <v>8.3676287616729628E-3</v>
      </c>
      <c r="BB216" s="77">
        <f t="shared" si="14"/>
        <v>7.7693861778145301E-3</v>
      </c>
      <c r="BC216" s="77">
        <f t="shared" si="14"/>
        <v>4.2382003121468337E-3</v>
      </c>
      <c r="BD216" s="77">
        <f t="shared" si="14"/>
        <v>4.4212810996930862E-3</v>
      </c>
      <c r="BE216" s="77">
        <f t="shared" si="14"/>
        <v>2.6144139577692904E-3</v>
      </c>
      <c r="BF216" s="77">
        <f t="shared" si="14"/>
        <v>-1.4634470830843238E-4</v>
      </c>
      <c r="BG216" s="77">
        <f t="shared" si="14"/>
        <v>-1.9027596668175217E-3</v>
      </c>
      <c r="BH216" s="77">
        <f t="shared" si="14"/>
        <v>-5.0659236645289596E-4</v>
      </c>
      <c r="BI216" s="77">
        <f t="shared" si="14"/>
        <v>-7.0692115828363544E-4</v>
      </c>
      <c r="BJ216" s="77">
        <f t="shared" si="14"/>
        <v>1.7351841964763359E-3</v>
      </c>
      <c r="BK216" s="77">
        <f t="shared" si="14"/>
        <v>3.5842771485676828E-3</v>
      </c>
      <c r="BL216" s="77">
        <f t="shared" si="14"/>
        <v>4.9124390923935835E-3</v>
      </c>
    </row>
    <row r="217" spans="1:64" x14ac:dyDescent="0.2">
      <c r="A217" s="28" t="s">
        <v>457</v>
      </c>
      <c r="C217" s="77">
        <f>SUM(C$55:C$69)/SUM(B$55:B$69)-1</f>
        <v>2.074095611930904E-2</v>
      </c>
      <c r="D217" s="77">
        <f t="shared" ref="D217:BL217" si="15">SUM(D$55:D$69)/SUM(C$55:C$69)-1</f>
        <v>2.0580625252213602E-2</v>
      </c>
      <c r="E217" s="77">
        <f t="shared" si="15"/>
        <v>1.956086895845921E-2</v>
      </c>
      <c r="F217" s="77">
        <f t="shared" si="15"/>
        <v>1.6584920725447594E-2</v>
      </c>
      <c r="G217" s="77">
        <f t="shared" si="15"/>
        <v>1.4047843454064068E-2</v>
      </c>
      <c r="H217" s="77">
        <f t="shared" si="15"/>
        <v>1.28795255377534E-2</v>
      </c>
      <c r="I217" s="77">
        <f t="shared" si="15"/>
        <v>1.2628359187240479E-2</v>
      </c>
      <c r="J217" s="77">
        <f t="shared" si="15"/>
        <v>1.3031846034348815E-2</v>
      </c>
      <c r="K217" s="77">
        <f t="shared" si="15"/>
        <v>1.3119781904924244E-2</v>
      </c>
      <c r="L217" s="77">
        <f t="shared" si="15"/>
        <v>1.4947023208879973E-2</v>
      </c>
      <c r="M217" s="77">
        <f t="shared" si="15"/>
        <v>1.1164274322169154E-2</v>
      </c>
      <c r="N217" s="77">
        <f t="shared" si="15"/>
        <v>7.8044983407759005E-3</v>
      </c>
      <c r="O217" s="77">
        <f t="shared" si="15"/>
        <v>2.3984227321693918E-3</v>
      </c>
      <c r="P217" s="77">
        <f t="shared" si="15"/>
        <v>-1.4193888517144426E-3</v>
      </c>
      <c r="Q217" s="77">
        <f t="shared" si="15"/>
        <v>-7.5334538144455898E-3</v>
      </c>
      <c r="R217" s="77">
        <f t="shared" si="15"/>
        <v>-9.0228332924134902E-3</v>
      </c>
      <c r="S217" s="77">
        <f t="shared" si="15"/>
        <v>-1.0302467224114764E-2</v>
      </c>
      <c r="T217" s="77">
        <f t="shared" si="15"/>
        <v>-6.7590120160213596E-3</v>
      </c>
      <c r="U217" s="77">
        <f t="shared" si="15"/>
        <v>-4.1166092581702562E-3</v>
      </c>
      <c r="V217" s="77">
        <f t="shared" si="15"/>
        <v>-2.9736797705416373E-3</v>
      </c>
      <c r="W217" s="77">
        <f t="shared" si="15"/>
        <v>-2.1787414066631872E-3</v>
      </c>
      <c r="X217" s="77">
        <f t="shared" si="15"/>
        <v>-1.1659459001102102E-3</v>
      </c>
      <c r="Y217" s="77">
        <f t="shared" si="15"/>
        <v>-1.1036356304519046E-3</v>
      </c>
      <c r="Z217" s="77">
        <f t="shared" si="15"/>
        <v>1.2535854669075697E-3</v>
      </c>
      <c r="AA217" s="77">
        <f t="shared" si="15"/>
        <v>-5.3051523639757736E-4</v>
      </c>
      <c r="AB217" s="77">
        <f t="shared" si="15"/>
        <v>3.3970997261087987E-3</v>
      </c>
      <c r="AC217" s="77">
        <f t="shared" si="15"/>
        <v>9.6912757358387225E-3</v>
      </c>
      <c r="AD217" s="77">
        <f t="shared" si="15"/>
        <v>1.3580065804639885E-2</v>
      </c>
      <c r="AE217" s="77">
        <f t="shared" si="15"/>
        <v>1.9911092732347813E-2</v>
      </c>
      <c r="AF217" s="77">
        <f t="shared" si="15"/>
        <v>2.5178397664612495E-2</v>
      </c>
      <c r="AG217" s="77">
        <f t="shared" si="15"/>
        <v>2.3076923076922995E-2</v>
      </c>
      <c r="AH217" s="77">
        <f t="shared" si="15"/>
        <v>2.284631888203803E-2</v>
      </c>
      <c r="AI217" s="77">
        <f t="shared" si="15"/>
        <v>1.8254313195638527E-2</v>
      </c>
      <c r="AJ217" s="77">
        <f t="shared" si="15"/>
        <v>1.6943490767374891E-2</v>
      </c>
      <c r="AK217" s="77">
        <f t="shared" si="15"/>
        <v>1.4234096134895458E-2</v>
      </c>
      <c r="AL217" s="77">
        <f t="shared" si="15"/>
        <v>1.1623304185109262E-2</v>
      </c>
      <c r="AM217" s="77">
        <f t="shared" si="15"/>
        <v>7.9859134889015415E-3</v>
      </c>
      <c r="AN217" s="77">
        <f t="shared" si="15"/>
        <v>4.7641734159122873E-3</v>
      </c>
      <c r="AO217" s="77">
        <f t="shared" si="15"/>
        <v>3.9513197407934353E-3</v>
      </c>
      <c r="AP217" s="77">
        <f t="shared" si="15"/>
        <v>1.8366918555834388E-3</v>
      </c>
      <c r="AQ217" s="77">
        <f t="shared" si="15"/>
        <v>-2.444432804288188E-3</v>
      </c>
      <c r="AR217" s="77">
        <f t="shared" si="15"/>
        <v>-6.4761171302049059E-3</v>
      </c>
      <c r="AS217" s="77">
        <f t="shared" si="15"/>
        <v>-7.1349294434754906E-3</v>
      </c>
      <c r="AT217" s="77">
        <f t="shared" si="15"/>
        <v>-1.0947868980446418E-2</v>
      </c>
      <c r="AU217" s="77">
        <f t="shared" si="15"/>
        <v>-1.2324859618593087E-2</v>
      </c>
      <c r="AV217" s="77">
        <f t="shared" si="15"/>
        <v>-9.1001562102662747E-3</v>
      </c>
      <c r="AW217" s="77">
        <f t="shared" si="15"/>
        <v>-6.5990871262808781E-3</v>
      </c>
      <c r="AX217" s="77">
        <f t="shared" si="15"/>
        <v>-5.2774343549905067E-3</v>
      </c>
      <c r="AY217" s="77">
        <f t="shared" si="15"/>
        <v>-2.9309737139888714E-3</v>
      </c>
      <c r="AZ217" s="77">
        <f t="shared" si="15"/>
        <v>-1.9535247167389302E-3</v>
      </c>
      <c r="BA217" s="77">
        <f t="shared" si="15"/>
        <v>-2.0319141003654062E-3</v>
      </c>
      <c r="BB217" s="77">
        <f t="shared" si="15"/>
        <v>-4.4830484729618814E-4</v>
      </c>
      <c r="BC217" s="77">
        <f t="shared" si="15"/>
        <v>-5.6063239333936643E-5</v>
      </c>
      <c r="BD217" s="77">
        <f t="shared" si="15"/>
        <v>-1.3455931823278533E-3</v>
      </c>
      <c r="BE217" s="77">
        <f t="shared" si="15"/>
        <v>1.3099782917880276E-4</v>
      </c>
      <c r="BF217" s="77">
        <f t="shared" si="15"/>
        <v>3.499055068016288E-3</v>
      </c>
      <c r="BG217" s="77">
        <f t="shared" si="15"/>
        <v>5.2023121387283489E-3</v>
      </c>
      <c r="BH217" s="77">
        <f t="shared" si="15"/>
        <v>5.2495872674320765E-3</v>
      </c>
      <c r="BI217" s="77">
        <f t="shared" si="15"/>
        <v>6.1632713315618037E-3</v>
      </c>
      <c r="BJ217" s="77">
        <f t="shared" si="15"/>
        <v>5.6303414884641967E-3</v>
      </c>
      <c r="BK217" s="77">
        <f t="shared" si="15"/>
        <v>3.6474385862528269E-3</v>
      </c>
      <c r="BL217" s="77">
        <f t="shared" si="15"/>
        <v>1.7444079007140623E-3</v>
      </c>
    </row>
    <row r="218" spans="1:64" x14ac:dyDescent="0.2">
      <c r="A218" s="28" t="s">
        <v>458</v>
      </c>
      <c r="C218" s="77">
        <f>SUM(C$130:C$169)/SUM(B$130:B$169)-1</f>
        <v>2.8117897535866465E-3</v>
      </c>
      <c r="D218" s="77">
        <f t="shared" ref="D218:BL218" si="16">SUM(D$130:D$169)/SUM(C$130:C$169)-1</f>
        <v>1.890172892591524E-3</v>
      </c>
      <c r="E218" s="77">
        <f t="shared" si="16"/>
        <v>5.4631128119384531E-3</v>
      </c>
      <c r="F218" s="77">
        <f t="shared" si="16"/>
        <v>5.7891366983247039E-3</v>
      </c>
      <c r="G218" s="77">
        <f t="shared" si="16"/>
        <v>2.8027550109193111E-3</v>
      </c>
      <c r="H218" s="77">
        <f t="shared" si="16"/>
        <v>1.4106859460416565E-4</v>
      </c>
      <c r="I218" s="77">
        <f t="shared" si="16"/>
        <v>4.6457914595015026E-3</v>
      </c>
      <c r="J218" s="77">
        <f t="shared" si="16"/>
        <v>1.8497231557610849E-2</v>
      </c>
      <c r="K218" s="77">
        <f t="shared" si="16"/>
        <v>2.5777325947049734E-2</v>
      </c>
      <c r="L218" s="77">
        <f t="shared" si="16"/>
        <v>2.7212484147048244E-2</v>
      </c>
      <c r="M218" s="77">
        <f t="shared" si="16"/>
        <v>2.3261898726932184E-2</v>
      </c>
      <c r="N218" s="77">
        <f t="shared" si="16"/>
        <v>1.9728641288714099E-2</v>
      </c>
      <c r="O218" s="77">
        <f t="shared" si="16"/>
        <v>1.4982329940368411E-2</v>
      </c>
      <c r="P218" s="77">
        <f t="shared" si="16"/>
        <v>1.2005033621814487E-2</v>
      </c>
      <c r="Q218" s="77">
        <f t="shared" si="16"/>
        <v>7.4532360928869501E-3</v>
      </c>
      <c r="R218" s="77">
        <f t="shared" si="16"/>
        <v>2.6275736212810763E-3</v>
      </c>
      <c r="S218" s="77">
        <f t="shared" si="16"/>
        <v>2.8472599842910284E-3</v>
      </c>
      <c r="T218" s="77">
        <f t="shared" si="16"/>
        <v>3.3964679745452919E-3</v>
      </c>
      <c r="U218" s="77">
        <f t="shared" si="16"/>
        <v>4.0229367438229247E-3</v>
      </c>
      <c r="V218" s="77">
        <f t="shared" si="16"/>
        <v>4.5973746374428082E-3</v>
      </c>
      <c r="W218" s="77">
        <f t="shared" si="16"/>
        <v>6.0422511105984178E-3</v>
      </c>
      <c r="X218" s="77">
        <f t="shared" si="16"/>
        <v>6.6716469796375133E-3</v>
      </c>
      <c r="Y218" s="77">
        <f t="shared" si="16"/>
        <v>6.531913799310729E-3</v>
      </c>
      <c r="Z218" s="77">
        <f t="shared" si="16"/>
        <v>6.7888167019489742E-3</v>
      </c>
      <c r="AA218" s="77">
        <f t="shared" si="16"/>
        <v>5.7714617169373206E-3</v>
      </c>
      <c r="AB218" s="77">
        <f t="shared" si="16"/>
        <v>5.5220738775627609E-3</v>
      </c>
      <c r="AC218" s="77">
        <f t="shared" si="16"/>
        <v>6.0366212127729302E-3</v>
      </c>
      <c r="AD218" s="77">
        <f t="shared" si="16"/>
        <v>6.0645363587126244E-3</v>
      </c>
      <c r="AE218" s="77">
        <f t="shared" si="16"/>
        <v>6.7434035771205547E-3</v>
      </c>
      <c r="AF218" s="77">
        <f t="shared" si="16"/>
        <v>7.028924834830752E-3</v>
      </c>
      <c r="AG218" s="77">
        <f t="shared" si="16"/>
        <v>7.3292064334922191E-3</v>
      </c>
      <c r="AH218" s="77">
        <f t="shared" si="16"/>
        <v>8.0457777007110209E-3</v>
      </c>
      <c r="AI218" s="77">
        <f t="shared" si="16"/>
        <v>7.878350018921898E-3</v>
      </c>
      <c r="AJ218" s="77">
        <f t="shared" si="16"/>
        <v>7.8031130529765402E-3</v>
      </c>
      <c r="AK218" s="77">
        <f t="shared" si="16"/>
        <v>7.4514133976413266E-3</v>
      </c>
      <c r="AL218" s="77">
        <f t="shared" si="16"/>
        <v>7.3694048667656276E-3</v>
      </c>
      <c r="AM218" s="77">
        <f t="shared" si="16"/>
        <v>6.6146483423330515E-3</v>
      </c>
      <c r="AN218" s="77">
        <f t="shared" si="16"/>
        <v>6.3192096014852428E-3</v>
      </c>
      <c r="AO218" s="77">
        <f t="shared" si="16"/>
        <v>5.9171207738382137E-3</v>
      </c>
      <c r="AP218" s="77">
        <f t="shared" si="16"/>
        <v>4.9652498018486479E-3</v>
      </c>
      <c r="AQ218" s="77">
        <f t="shared" si="16"/>
        <v>3.8847861086306334E-3</v>
      </c>
      <c r="AR218" s="77">
        <f t="shared" si="16"/>
        <v>2.6750641171313649E-3</v>
      </c>
      <c r="AS218" s="77">
        <f t="shared" si="16"/>
        <v>1.2497814501351012E-3</v>
      </c>
      <c r="AT218" s="77">
        <f t="shared" si="16"/>
        <v>-4.397878670288069E-4</v>
      </c>
      <c r="AU218" s="77">
        <f t="shared" si="16"/>
        <v>-1.8828614317510928E-3</v>
      </c>
      <c r="AV218" s="77">
        <f t="shared" si="16"/>
        <v>-2.1781266814036027E-3</v>
      </c>
      <c r="AW218" s="77">
        <f t="shared" si="16"/>
        <v>-2.6181581939256349E-3</v>
      </c>
      <c r="AX218" s="77">
        <f t="shared" si="16"/>
        <v>-2.3188858925756728E-3</v>
      </c>
      <c r="AY218" s="77">
        <f t="shared" si="16"/>
        <v>-2.5005549534492522E-3</v>
      </c>
      <c r="AZ218" s="77">
        <f t="shared" si="16"/>
        <v>-2.4544615565867955E-3</v>
      </c>
      <c r="BA218" s="77">
        <f t="shared" si="16"/>
        <v>-1.3844417615873628E-3</v>
      </c>
      <c r="BB218" s="77">
        <f t="shared" si="16"/>
        <v>-6.9646576476545263E-4</v>
      </c>
      <c r="BC218" s="77">
        <f t="shared" si="16"/>
        <v>1.9067531938121718E-4</v>
      </c>
      <c r="BD218" s="77">
        <f t="shared" si="16"/>
        <v>1.3804890875634968E-4</v>
      </c>
      <c r="BE218" s="77">
        <f t="shared" si="16"/>
        <v>1.1305302318245225E-3</v>
      </c>
      <c r="BF218" s="77">
        <f t="shared" si="16"/>
        <v>2.3110305751972149E-3</v>
      </c>
      <c r="BG218" s="77">
        <f t="shared" si="16"/>
        <v>2.3581043461173845E-3</v>
      </c>
      <c r="BH218" s="77">
        <f t="shared" si="16"/>
        <v>2.0911615749059642E-3</v>
      </c>
      <c r="BI218" s="77">
        <f t="shared" si="16"/>
        <v>2.347647461606206E-3</v>
      </c>
      <c r="BJ218" s="77">
        <f t="shared" si="16"/>
        <v>1.9908265833903371E-3</v>
      </c>
      <c r="BK218" s="77">
        <f t="shared" si="16"/>
        <v>9.9343553382547078E-4</v>
      </c>
      <c r="BL218" s="77">
        <f t="shared" si="16"/>
        <v>1.9459796061327417E-4</v>
      </c>
    </row>
    <row r="219" spans="1:64" x14ac:dyDescent="0.2">
      <c r="A219" s="28" t="s">
        <v>459</v>
      </c>
      <c r="C219" s="77">
        <f>SUM(C$60:C$69,C$160:C$169)/SUM(B$60:B$69,B$160:B$169)-1</f>
        <v>1.4013065703515126E-2</v>
      </c>
      <c r="D219" s="77">
        <f t="shared" ref="D219:BL219" si="17">SUM(D$60:D$69,D$160:D$169)/SUM(C$60:C$69,C$160:C$169)-1</f>
        <v>1.498725110457988E-2</v>
      </c>
      <c r="E219" s="77">
        <f t="shared" si="17"/>
        <v>2.1899629892419448E-2</v>
      </c>
      <c r="F219" s="77">
        <f t="shared" si="17"/>
        <v>2.2781437069564037E-2</v>
      </c>
      <c r="G219" s="77">
        <f t="shared" si="17"/>
        <v>2.4659193071941088E-2</v>
      </c>
      <c r="H219" s="77">
        <f t="shared" si="17"/>
        <v>2.4656651207764169E-2</v>
      </c>
      <c r="I219" s="77">
        <f t="shared" si="17"/>
        <v>2.3032294142317999E-2</v>
      </c>
      <c r="J219" s="77">
        <f t="shared" si="17"/>
        <v>1.9695261521642582E-2</v>
      </c>
      <c r="K219" s="77">
        <f t="shared" si="17"/>
        <v>1.484211407990621E-2</v>
      </c>
      <c r="L219" s="77">
        <f t="shared" si="17"/>
        <v>1.1703339330813245E-2</v>
      </c>
      <c r="M219" s="77">
        <f t="shared" si="17"/>
        <v>9.6263664545603866E-3</v>
      </c>
      <c r="N219" s="77">
        <f t="shared" si="17"/>
        <v>9.8093083387200686E-3</v>
      </c>
      <c r="O219" s="77">
        <f t="shared" si="17"/>
        <v>6.4493414630242274E-3</v>
      </c>
      <c r="P219" s="77">
        <f t="shared" si="17"/>
        <v>4.229607250755274E-3</v>
      </c>
      <c r="Q219" s="77">
        <f t="shared" si="17"/>
        <v>3.3567673696877076E-3</v>
      </c>
      <c r="R219" s="77">
        <f t="shared" si="17"/>
        <v>-8.3638429491228461E-4</v>
      </c>
      <c r="S219" s="77">
        <f t="shared" si="17"/>
        <v>-4.1696280502250271E-3</v>
      </c>
      <c r="T219" s="77">
        <f t="shared" si="17"/>
        <v>-5.6303627222407115E-3</v>
      </c>
      <c r="U219" s="77">
        <f t="shared" si="17"/>
        <v>-5.8536429756284036E-3</v>
      </c>
      <c r="V219" s="77">
        <f t="shared" si="17"/>
        <v>-8.4230454523576137E-3</v>
      </c>
      <c r="W219" s="77">
        <f t="shared" si="17"/>
        <v>-8.8343796518024487E-3</v>
      </c>
      <c r="X219" s="77">
        <f t="shared" si="17"/>
        <v>-1.1525025302817626E-2</v>
      </c>
      <c r="Y219" s="77">
        <f t="shared" si="17"/>
        <v>-1.0404280618311557E-2</v>
      </c>
      <c r="Z219" s="77">
        <f t="shared" si="17"/>
        <v>-9.078468675945417E-3</v>
      </c>
      <c r="AA219" s="77">
        <f t="shared" si="17"/>
        <v>-1.060999023207243E-2</v>
      </c>
      <c r="AB219" s="77">
        <f t="shared" si="17"/>
        <v>-6.9449172737795495E-3</v>
      </c>
      <c r="AC219" s="77">
        <f t="shared" si="17"/>
        <v>-3.5995886184436721E-4</v>
      </c>
      <c r="AD219" s="77">
        <f t="shared" si="17"/>
        <v>4.8526209297141687E-3</v>
      </c>
      <c r="AE219" s="77">
        <f t="shared" si="17"/>
        <v>1.1262414252073416E-2</v>
      </c>
      <c r="AF219" s="77">
        <f t="shared" si="17"/>
        <v>1.7633559447875591E-2</v>
      </c>
      <c r="AG219" s="77">
        <f t="shared" si="17"/>
        <v>2.1539788084302014E-2</v>
      </c>
      <c r="AH219" s="77">
        <f t="shared" si="17"/>
        <v>2.8422556244521724E-2</v>
      </c>
      <c r="AI219" s="77">
        <f t="shared" si="17"/>
        <v>2.9515286392979512E-2</v>
      </c>
      <c r="AJ219" s="77">
        <f t="shared" si="17"/>
        <v>3.4356938077789945E-2</v>
      </c>
      <c r="AK219" s="77">
        <f t="shared" si="17"/>
        <v>3.6669235785854015E-2</v>
      </c>
      <c r="AL219" s="77">
        <f t="shared" si="17"/>
        <v>3.3141746018129359E-2</v>
      </c>
      <c r="AM219" s="77">
        <f t="shared" si="17"/>
        <v>2.9781345142540827E-2</v>
      </c>
      <c r="AN219" s="77">
        <f t="shared" si="17"/>
        <v>2.5049723162930748E-2</v>
      </c>
      <c r="AO219" s="77">
        <f t="shared" si="17"/>
        <v>2.1985945775866655E-2</v>
      </c>
      <c r="AP219" s="77">
        <f t="shared" si="17"/>
        <v>1.7690146626813563E-2</v>
      </c>
      <c r="AQ219" s="77">
        <f t="shared" si="17"/>
        <v>1.1470781021529763E-2</v>
      </c>
      <c r="AR219" s="77">
        <f t="shared" si="17"/>
        <v>3.8508511751951247E-3</v>
      </c>
      <c r="AS219" s="77">
        <f t="shared" si="17"/>
        <v>-2.7311889362019448E-3</v>
      </c>
      <c r="AT219" s="77">
        <f t="shared" si="17"/>
        <v>-7.1454357595448492E-3</v>
      </c>
      <c r="AU219" s="77">
        <f t="shared" si="17"/>
        <v>-1.4230725829707747E-2</v>
      </c>
      <c r="AV219" s="77">
        <f t="shared" si="17"/>
        <v>-1.7972068886571213E-2</v>
      </c>
      <c r="AW219" s="77">
        <f t="shared" si="17"/>
        <v>-1.8974471887992284E-2</v>
      </c>
      <c r="AX219" s="77">
        <f t="shared" si="17"/>
        <v>-1.5776827207435562E-2</v>
      </c>
      <c r="AY219" s="77">
        <f t="shared" si="17"/>
        <v>-1.6096795396316477E-2</v>
      </c>
      <c r="AZ219" s="77">
        <f t="shared" si="17"/>
        <v>-1.3088112994042223E-2</v>
      </c>
      <c r="BA219" s="77">
        <f t="shared" si="17"/>
        <v>-6.3407423779856531E-3</v>
      </c>
      <c r="BB219" s="77">
        <f t="shared" si="17"/>
        <v>3.7536493813439264E-4</v>
      </c>
      <c r="BC219" s="77">
        <f t="shared" si="17"/>
        <v>3.7105493558653446E-3</v>
      </c>
      <c r="BD219" s="77">
        <f t="shared" si="17"/>
        <v>4.1260522817900824E-3</v>
      </c>
      <c r="BE219" s="77">
        <f t="shared" si="17"/>
        <v>5.5431455282535236E-3</v>
      </c>
      <c r="BF219" s="77">
        <f t="shared" si="17"/>
        <v>8.4745762711864181E-3</v>
      </c>
      <c r="BG219" s="77">
        <f t="shared" si="17"/>
        <v>7.8594544613961315E-3</v>
      </c>
      <c r="BH219" s="77">
        <f t="shared" si="17"/>
        <v>4.317323259579009E-3</v>
      </c>
      <c r="BI219" s="77">
        <f t="shared" si="17"/>
        <v>4.5674368619021966E-3</v>
      </c>
      <c r="BJ219" s="77">
        <f t="shared" si="17"/>
        <v>2.6477667825621776E-3</v>
      </c>
      <c r="BK219" s="77">
        <f t="shared" si="17"/>
        <v>-5.3348982368195408E-5</v>
      </c>
      <c r="BL219" s="77">
        <f t="shared" si="17"/>
        <v>-1.7606103449195887E-3</v>
      </c>
    </row>
    <row r="220" spans="1:64" x14ac:dyDescent="0.2">
      <c r="A220" s="28" t="s">
        <v>460</v>
      </c>
      <c r="C220" s="77">
        <f>SUM(C$65:C$74,C$165:C$174)/SUM(B$65:B$74,B$165:B$174)-1</f>
        <v>2.6299865009542511E-2</v>
      </c>
      <c r="D220" s="77">
        <f t="shared" ref="D220:BL220" si="18">SUM(D$65:D$74,D$165:D$174)/SUM(C$65:C$74,C$165:C$174)-1</f>
        <v>3.5059869375907216E-2</v>
      </c>
      <c r="E220" s="77">
        <f t="shared" si="18"/>
        <v>3.0038122781648413E-2</v>
      </c>
      <c r="F220" s="77">
        <f t="shared" si="18"/>
        <v>2.9247229489715698E-2</v>
      </c>
      <c r="G220" s="77">
        <f t="shared" si="18"/>
        <v>2.7527486153591907E-2</v>
      </c>
      <c r="H220" s="77">
        <f t="shared" si="18"/>
        <v>1.5044247787610709E-2</v>
      </c>
      <c r="I220" s="77">
        <f t="shared" si="18"/>
        <v>1.6010145042403057E-2</v>
      </c>
      <c r="J220" s="77">
        <f t="shared" si="18"/>
        <v>2.3402761525860072E-2</v>
      </c>
      <c r="K220" s="77">
        <f t="shared" si="18"/>
        <v>2.4144370759966449E-2</v>
      </c>
      <c r="L220" s="77">
        <f t="shared" si="18"/>
        <v>2.9008429004707681E-2</v>
      </c>
      <c r="M220" s="77">
        <f t="shared" si="18"/>
        <v>2.9004375971935836E-2</v>
      </c>
      <c r="N220" s="77">
        <f t="shared" si="18"/>
        <v>2.6886444311671864E-2</v>
      </c>
      <c r="O220" s="77">
        <f t="shared" si="18"/>
        <v>2.0603737422137058E-2</v>
      </c>
      <c r="P220" s="77">
        <f t="shared" si="18"/>
        <v>1.405097250167664E-2</v>
      </c>
      <c r="Q220" s="77">
        <f t="shared" si="18"/>
        <v>9.8217533648599087E-3</v>
      </c>
      <c r="R220" s="77">
        <f t="shared" si="18"/>
        <v>7.4338485721769931E-3</v>
      </c>
      <c r="S220" s="77">
        <f t="shared" si="18"/>
        <v>8.094139063160366E-3</v>
      </c>
      <c r="T220" s="77">
        <f t="shared" si="18"/>
        <v>5.3366438797883831E-3</v>
      </c>
      <c r="U220" s="77">
        <f t="shared" si="18"/>
        <v>3.608371421698342E-3</v>
      </c>
      <c r="V220" s="77">
        <f t="shared" si="18"/>
        <v>3.227868328539385E-3</v>
      </c>
      <c r="W220" s="77">
        <f t="shared" si="18"/>
        <v>-3.3449077761138479E-4</v>
      </c>
      <c r="X220" s="77">
        <f t="shared" si="18"/>
        <v>-3.6009623810965286E-3</v>
      </c>
      <c r="Y220" s="77">
        <f t="shared" si="18"/>
        <v>-5.1651075397777246E-3</v>
      </c>
      <c r="Z220" s="77">
        <f t="shared" si="18"/>
        <v>-5.4330354272487114E-3</v>
      </c>
      <c r="AA220" s="77">
        <f t="shared" si="18"/>
        <v>-7.919319908200495E-3</v>
      </c>
      <c r="AB220" s="77">
        <f t="shared" si="18"/>
        <v>-8.4223901994004979E-3</v>
      </c>
      <c r="AC220" s="77">
        <f t="shared" si="18"/>
        <v>-1.1171899387188433E-2</v>
      </c>
      <c r="AD220" s="77">
        <f t="shared" si="18"/>
        <v>-9.8692408659677433E-3</v>
      </c>
      <c r="AE220" s="77">
        <f t="shared" si="18"/>
        <v>-8.6587350863356338E-3</v>
      </c>
      <c r="AF220" s="77">
        <f t="shared" si="18"/>
        <v>-1.0207017959611986E-2</v>
      </c>
      <c r="AG220" s="77">
        <f t="shared" si="18"/>
        <v>-6.4473099155180069E-3</v>
      </c>
      <c r="AH220" s="77">
        <f t="shared" si="18"/>
        <v>3.4425185465591923E-5</v>
      </c>
      <c r="AI220" s="77">
        <f t="shared" si="18"/>
        <v>5.1636000619632583E-3</v>
      </c>
      <c r="AJ220" s="77">
        <f t="shared" si="18"/>
        <v>1.1575540677066343E-2</v>
      </c>
      <c r="AK220" s="77">
        <f t="shared" si="18"/>
        <v>1.7807871349978743E-2</v>
      </c>
      <c r="AL220" s="77">
        <f t="shared" si="18"/>
        <v>2.1720691203618969E-2</v>
      </c>
      <c r="AM220" s="77">
        <f t="shared" si="18"/>
        <v>2.8518874220695656E-2</v>
      </c>
      <c r="AN220" s="77">
        <f t="shared" si="18"/>
        <v>2.9579805333544318E-2</v>
      </c>
      <c r="AO220" s="77">
        <f t="shared" si="18"/>
        <v>3.4417560795646729E-2</v>
      </c>
      <c r="AP220" s="77">
        <f t="shared" si="18"/>
        <v>3.6749736228136598E-2</v>
      </c>
      <c r="AQ220" s="77">
        <f t="shared" si="18"/>
        <v>3.3125017917037036E-2</v>
      </c>
      <c r="AR220" s="77">
        <f t="shared" si="18"/>
        <v>2.9856958530460442E-2</v>
      </c>
      <c r="AS220" s="77">
        <f t="shared" si="18"/>
        <v>2.5111479340958365E-2</v>
      </c>
      <c r="AT220" s="77">
        <f t="shared" si="18"/>
        <v>2.2091388169739767E-2</v>
      </c>
      <c r="AU220" s="77">
        <f t="shared" si="18"/>
        <v>1.7769434515390703E-2</v>
      </c>
      <c r="AV220" s="77">
        <f t="shared" si="18"/>
        <v>1.1609985345393925E-2</v>
      </c>
      <c r="AW220" s="77">
        <f t="shared" si="18"/>
        <v>3.983765220106239E-3</v>
      </c>
      <c r="AX220" s="77">
        <f t="shared" si="18"/>
        <v>-2.5623802771350679E-3</v>
      </c>
      <c r="AY220" s="77">
        <f t="shared" si="18"/>
        <v>-6.9586471791290849E-3</v>
      </c>
      <c r="AZ220" s="77">
        <f t="shared" si="18"/>
        <v>-1.3939470048976554E-2</v>
      </c>
      <c r="BA220" s="77">
        <f t="shared" si="18"/>
        <v>-1.7638818135506829E-2</v>
      </c>
      <c r="BB220" s="77">
        <f t="shared" si="18"/>
        <v>-1.8707460945096233E-2</v>
      </c>
      <c r="BC220" s="77">
        <f t="shared" si="18"/>
        <v>-1.5497014215504978E-2</v>
      </c>
      <c r="BD220" s="77">
        <f t="shared" si="18"/>
        <v>-1.5794629557562501E-2</v>
      </c>
      <c r="BE220" s="77">
        <f t="shared" si="18"/>
        <v>-1.2843936625671515E-2</v>
      </c>
      <c r="BF220" s="77">
        <f t="shared" si="18"/>
        <v>-6.1049723756906316E-3</v>
      </c>
      <c r="BG220" s="77">
        <f t="shared" si="18"/>
        <v>5.6977681425274262E-4</v>
      </c>
      <c r="BH220" s="77">
        <f t="shared" si="18"/>
        <v>3.8194974930207959E-3</v>
      </c>
      <c r="BI220" s="77">
        <f t="shared" si="18"/>
        <v>4.3445775797659181E-3</v>
      </c>
      <c r="BJ220" s="77">
        <f t="shared" si="18"/>
        <v>5.648316526147612E-3</v>
      </c>
      <c r="BK220" s="77">
        <f t="shared" si="18"/>
        <v>8.5481794021753377E-3</v>
      </c>
      <c r="BL220" s="77">
        <f t="shared" si="18"/>
        <v>7.9595773002634207E-3</v>
      </c>
    </row>
    <row r="221" spans="1:64" x14ac:dyDescent="0.2">
      <c r="A221" s="28" t="s">
        <v>461</v>
      </c>
      <c r="C221" s="77">
        <f>SUM(C$70:C$74,C$170:C$174)/SUM(B$70:B$74,B$170:B$174)-1</f>
        <v>5.829091883203863E-2</v>
      </c>
      <c r="D221" s="77">
        <f t="shared" ref="D221:BL221" si="19">SUM(D$70:D$74,D$170:D$174)/SUM(C$70:C$74,C$170:C$174)-1</f>
        <v>7.2647192831468699E-2</v>
      </c>
      <c r="E221" s="77">
        <f t="shared" si="19"/>
        <v>4.6960543703983282E-2</v>
      </c>
      <c r="F221" s="77">
        <f t="shared" si="19"/>
        <v>4.2014154983545993E-2</v>
      </c>
      <c r="G221" s="77">
        <f t="shared" si="19"/>
        <v>3.1408176508760599E-2</v>
      </c>
      <c r="H221" s="77">
        <f t="shared" si="19"/>
        <v>3.6072312403003792E-3</v>
      </c>
      <c r="I221" s="77">
        <f t="shared" si="19"/>
        <v>7.2721193630627123E-3</v>
      </c>
      <c r="J221" s="77">
        <f t="shared" si="19"/>
        <v>1.7509646902618137E-2</v>
      </c>
      <c r="K221" s="77">
        <f t="shared" si="19"/>
        <v>2.0062798189454778E-2</v>
      </c>
      <c r="L221" s="77">
        <f t="shared" si="19"/>
        <v>2.7543473915650596E-2</v>
      </c>
      <c r="M221" s="77">
        <f t="shared" si="19"/>
        <v>2.9489573607220709E-2</v>
      </c>
      <c r="N221" s="77">
        <f t="shared" si="19"/>
        <v>2.7359987907187744E-2</v>
      </c>
      <c r="O221" s="77">
        <f t="shared" si="19"/>
        <v>2.8985507246376718E-2</v>
      </c>
      <c r="P221" s="77">
        <f t="shared" si="19"/>
        <v>2.6596124973189417E-2</v>
      </c>
      <c r="Q221" s="77">
        <f t="shared" si="19"/>
        <v>2.7752629013162444E-2</v>
      </c>
      <c r="R221" s="77">
        <f t="shared" si="19"/>
        <v>2.5986786379806892E-2</v>
      </c>
      <c r="S221" s="77">
        <f t="shared" si="19"/>
        <v>2.4536028003434351E-2</v>
      </c>
      <c r="T221" s="77">
        <f t="shared" si="19"/>
        <v>1.211925866236907E-2</v>
      </c>
      <c r="U221" s="77">
        <f t="shared" si="19"/>
        <v>2.4203050858253583E-3</v>
      </c>
      <c r="V221" s="77">
        <f t="shared" si="19"/>
        <v>-6.322076436763302E-3</v>
      </c>
      <c r="W221" s="77">
        <f t="shared" si="19"/>
        <v>-9.2716925634631631E-3</v>
      </c>
      <c r="X221" s="77">
        <f t="shared" si="19"/>
        <v>-7.1640635084548876E-3</v>
      </c>
      <c r="Y221" s="77">
        <f t="shared" si="19"/>
        <v>-8.1258532145878082E-4</v>
      </c>
      <c r="Z221" s="77">
        <f t="shared" si="19"/>
        <v>5.3023649198138401E-3</v>
      </c>
      <c r="AA221" s="77">
        <f t="shared" si="19"/>
        <v>1.3396324100440005E-2</v>
      </c>
      <c r="AB221" s="77">
        <f t="shared" si="19"/>
        <v>8.8766843348873081E-3</v>
      </c>
      <c r="AC221" s="77">
        <f t="shared" si="19"/>
        <v>2.2154703126986419E-4</v>
      </c>
      <c r="AD221" s="77">
        <f t="shared" si="19"/>
        <v>-8.7649906654431176E-3</v>
      </c>
      <c r="AE221" s="77">
        <f t="shared" si="19"/>
        <v>-1.5354657473025557E-2</v>
      </c>
      <c r="AF221" s="77">
        <f t="shared" si="19"/>
        <v>-2.8529745501702064E-2</v>
      </c>
      <c r="AG221" s="77">
        <f t="shared" si="19"/>
        <v>-2.5730018354747197E-2</v>
      </c>
      <c r="AH221" s="77">
        <f t="shared" si="19"/>
        <v>-2.2710145920394553E-2</v>
      </c>
      <c r="AI221" s="77">
        <f t="shared" si="19"/>
        <v>-1.0620027338684279E-2</v>
      </c>
      <c r="AJ221" s="77">
        <f t="shared" si="19"/>
        <v>-8.1479382173732517E-4</v>
      </c>
      <c r="AK221" s="77">
        <f t="shared" si="19"/>
        <v>1.0175500797730885E-2</v>
      </c>
      <c r="AL221" s="77">
        <f t="shared" si="19"/>
        <v>1.4003930927979802E-2</v>
      </c>
      <c r="AM221" s="77">
        <f t="shared" si="19"/>
        <v>2.3086774428022538E-2</v>
      </c>
      <c r="AN221" s="77">
        <f t="shared" si="19"/>
        <v>2.0468231950740989E-2</v>
      </c>
      <c r="AO221" s="77">
        <f t="shared" si="19"/>
        <v>2.3273547060968847E-2</v>
      </c>
      <c r="AP221" s="77">
        <f t="shared" si="19"/>
        <v>2.4914952211242403E-2</v>
      </c>
      <c r="AQ221" s="77">
        <f t="shared" si="19"/>
        <v>2.8545236138332264E-2</v>
      </c>
      <c r="AR221" s="77">
        <f t="shared" si="19"/>
        <v>3.3377385745459121E-2</v>
      </c>
      <c r="AS221" s="77">
        <f t="shared" si="19"/>
        <v>3.7533831008535801E-2</v>
      </c>
      <c r="AT221" s="77">
        <f t="shared" si="19"/>
        <v>4.394438870574735E-2</v>
      </c>
      <c r="AU221" s="77">
        <f t="shared" si="19"/>
        <v>4.6625295183700288E-2</v>
      </c>
      <c r="AV221" s="77">
        <f t="shared" si="19"/>
        <v>3.6887396368978864E-2</v>
      </c>
      <c r="AW221" s="77">
        <f t="shared" si="19"/>
        <v>2.6972319214614737E-2</v>
      </c>
      <c r="AX221" s="77">
        <f t="shared" si="19"/>
        <v>1.4881245688380895E-2</v>
      </c>
      <c r="AY221" s="77">
        <f t="shared" si="19"/>
        <v>3.7385900174791153E-3</v>
      </c>
      <c r="AZ221" s="77">
        <f t="shared" si="19"/>
        <v>-7.3042132249794278E-3</v>
      </c>
      <c r="BA221" s="77">
        <f t="shared" si="19"/>
        <v>-1.1499853815417627E-2</v>
      </c>
      <c r="BB221" s="77">
        <f t="shared" si="19"/>
        <v>-1.8091294488809972E-2</v>
      </c>
      <c r="BC221" s="77">
        <f t="shared" si="19"/>
        <v>-2.0006024398815159E-2</v>
      </c>
      <c r="BD221" s="77">
        <f t="shared" si="19"/>
        <v>-1.7827412207679139E-2</v>
      </c>
      <c r="BE221" s="77">
        <f t="shared" si="19"/>
        <v>-2.0732820445951261E-2</v>
      </c>
      <c r="BF221" s="77">
        <f t="shared" si="19"/>
        <v>-2.3968042609853524E-2</v>
      </c>
      <c r="BG221" s="77">
        <f t="shared" si="19"/>
        <v>-1.9017735334242891E-2</v>
      </c>
      <c r="BH221" s="77">
        <f t="shared" si="19"/>
        <v>-1.0207771256918741E-2</v>
      </c>
      <c r="BI221" s="77">
        <f t="shared" si="19"/>
        <v>-1.320744112853367E-2</v>
      </c>
      <c r="BJ221" s="77">
        <f t="shared" si="19"/>
        <v>-3.9583096024604636E-3</v>
      </c>
      <c r="BK221" s="77">
        <f t="shared" si="19"/>
        <v>1.3151499556851576E-2</v>
      </c>
      <c r="BL221" s="77">
        <f t="shared" si="19"/>
        <v>2.0882128848378922E-2</v>
      </c>
    </row>
    <row r="222" spans="1:64" x14ac:dyDescent="0.2">
      <c r="A222" s="28" t="s">
        <v>435</v>
      </c>
      <c r="C222" s="77">
        <f>SUM(C$75:C$100,C$175:C$200)/SUM(B$75:B$100,B$175:B$200)-1</f>
        <v>2.6718527060571207E-2</v>
      </c>
      <c r="D222" s="77">
        <f t="shared" ref="D222:BL222" si="20">SUM(D$75:D$100,D$175:D$200)/SUM(C$75:C$100,C$175:C$200)-1</f>
        <v>1.8522748905387409E-2</v>
      </c>
      <c r="E222" s="77">
        <f t="shared" si="20"/>
        <v>2.4877109694783517E-2</v>
      </c>
      <c r="F222" s="77">
        <f t="shared" si="20"/>
        <v>2.755589597694863E-2</v>
      </c>
      <c r="G222" s="77">
        <f t="shared" si="20"/>
        <v>2.9461354157423125E-2</v>
      </c>
      <c r="H222" s="77">
        <f t="shared" si="20"/>
        <v>3.9513835014223009E-2</v>
      </c>
      <c r="I222" s="77">
        <f t="shared" si="20"/>
        <v>3.8177687115445114E-2</v>
      </c>
      <c r="J222" s="77">
        <f t="shared" si="20"/>
        <v>3.8978258438633118E-2</v>
      </c>
      <c r="K222" s="77">
        <f t="shared" si="20"/>
        <v>3.6854810190808607E-2</v>
      </c>
      <c r="L222" s="77">
        <f t="shared" si="20"/>
        <v>3.5559641734385306E-2</v>
      </c>
      <c r="M222" s="77">
        <f t="shared" si="20"/>
        <v>3.5340951399031928E-2</v>
      </c>
      <c r="N222" s="77">
        <f t="shared" si="20"/>
        <v>3.4425050482697506E-2</v>
      </c>
      <c r="O222" s="77">
        <f t="shared" si="20"/>
        <v>3.5071064700298082E-2</v>
      </c>
      <c r="P222" s="77">
        <f t="shared" si="20"/>
        <v>3.448988555041721E-2</v>
      </c>
      <c r="Q222" s="77">
        <f t="shared" si="20"/>
        <v>3.4738524549223326E-2</v>
      </c>
      <c r="R222" s="77">
        <f t="shared" si="20"/>
        <v>3.4549755026186846E-2</v>
      </c>
      <c r="S222" s="77">
        <f t="shared" si="20"/>
        <v>3.3092652427999969E-2</v>
      </c>
      <c r="T222" s="77">
        <f t="shared" si="20"/>
        <v>3.4426303547636872E-2</v>
      </c>
      <c r="U222" s="77">
        <f t="shared" si="20"/>
        <v>3.362986410522284E-2</v>
      </c>
      <c r="V222" s="77">
        <f t="shared" si="20"/>
        <v>3.4383712089211871E-2</v>
      </c>
      <c r="W222" s="77">
        <f t="shared" si="20"/>
        <v>3.3751225089839965E-2</v>
      </c>
      <c r="X222" s="77">
        <f t="shared" si="20"/>
        <v>3.2027099093405065E-2</v>
      </c>
      <c r="Y222" s="77">
        <f t="shared" si="20"/>
        <v>2.947340216840022E-2</v>
      </c>
      <c r="Z222" s="77">
        <f t="shared" si="20"/>
        <v>2.582240358427601E-2</v>
      </c>
      <c r="AA222" s="77">
        <f t="shared" si="20"/>
        <v>2.404878623401796E-2</v>
      </c>
      <c r="AB222" s="77">
        <f t="shared" si="20"/>
        <v>2.3006202826223454E-2</v>
      </c>
      <c r="AC222" s="77">
        <f t="shared" si="20"/>
        <v>2.2333128627403553E-2</v>
      </c>
      <c r="AD222" s="77">
        <f t="shared" si="20"/>
        <v>2.2022928211853365E-2</v>
      </c>
      <c r="AE222" s="77">
        <f t="shared" si="20"/>
        <v>2.0439080117220509E-2</v>
      </c>
      <c r="AF222" s="77">
        <f t="shared" si="20"/>
        <v>2.092206348820036E-2</v>
      </c>
      <c r="AG222" s="77">
        <f t="shared" si="20"/>
        <v>1.9055035519603303E-2</v>
      </c>
      <c r="AH222" s="77">
        <f t="shared" si="20"/>
        <v>1.634384454633353E-2</v>
      </c>
      <c r="AI222" s="77">
        <f t="shared" si="20"/>
        <v>1.3978824612551843E-2</v>
      </c>
      <c r="AJ222" s="77">
        <f t="shared" si="20"/>
        <v>1.1432938363523659E-2</v>
      </c>
      <c r="AK222" s="77">
        <f t="shared" si="20"/>
        <v>9.0893448938829113E-3</v>
      </c>
      <c r="AL222" s="77">
        <f t="shared" si="20"/>
        <v>8.5404187177511304E-3</v>
      </c>
      <c r="AM222" s="77">
        <f t="shared" si="20"/>
        <v>7.2111143781241616E-3</v>
      </c>
      <c r="AN222" s="77">
        <f t="shared" si="20"/>
        <v>7.7725312178424932E-3</v>
      </c>
      <c r="AO222" s="77">
        <f t="shared" si="20"/>
        <v>7.5749894992975797E-3</v>
      </c>
      <c r="AP222" s="77">
        <f t="shared" si="20"/>
        <v>7.8342868642726771E-3</v>
      </c>
      <c r="AQ222" s="77">
        <f t="shared" si="20"/>
        <v>7.9588081756072349E-3</v>
      </c>
      <c r="AR222" s="77">
        <f t="shared" si="20"/>
        <v>8.6954676024848521E-3</v>
      </c>
      <c r="AS222" s="77">
        <f t="shared" si="20"/>
        <v>9.0062917786022378E-3</v>
      </c>
      <c r="AT222" s="77">
        <f t="shared" si="20"/>
        <v>9.5306949551967612E-3</v>
      </c>
      <c r="AU222" s="77">
        <f t="shared" si="20"/>
        <v>1.0088003195108275E-2</v>
      </c>
      <c r="AV222" s="77">
        <f t="shared" si="20"/>
        <v>1.143932318474028E-2</v>
      </c>
      <c r="AW222" s="77">
        <f t="shared" si="20"/>
        <v>1.3291544501735642E-2</v>
      </c>
      <c r="AX222" s="77">
        <f t="shared" si="20"/>
        <v>1.4746868701650317E-2</v>
      </c>
      <c r="AY222" s="77">
        <f t="shared" si="20"/>
        <v>1.6990704930712974E-2</v>
      </c>
      <c r="AZ222" s="77">
        <f t="shared" si="20"/>
        <v>1.8717852861175999E-2</v>
      </c>
      <c r="BA222" s="77">
        <f t="shared" si="20"/>
        <v>1.7950015817779219E-2</v>
      </c>
      <c r="BB222" s="77">
        <f t="shared" si="20"/>
        <v>1.7589985517785678E-2</v>
      </c>
      <c r="BC222" s="77">
        <f t="shared" si="20"/>
        <v>1.6217008618530704E-2</v>
      </c>
      <c r="BD222" s="77">
        <f t="shared" si="20"/>
        <v>1.5633640276007998E-2</v>
      </c>
      <c r="BE222" s="77">
        <f t="shared" si="20"/>
        <v>1.4736082095956116E-2</v>
      </c>
      <c r="BF222" s="77">
        <f t="shared" si="20"/>
        <v>1.3244839994634328E-2</v>
      </c>
      <c r="BG222" s="77">
        <f t="shared" si="20"/>
        <v>1.1776624034443461E-2</v>
      </c>
      <c r="BH222" s="77">
        <f t="shared" si="20"/>
        <v>1.0177494595517089E-2</v>
      </c>
      <c r="BI222" s="77">
        <f t="shared" si="20"/>
        <v>1.0604328458233114E-2</v>
      </c>
      <c r="BJ222" s="77">
        <f t="shared" si="20"/>
        <v>9.2782471078616258E-3</v>
      </c>
      <c r="BK222" s="77">
        <f t="shared" si="20"/>
        <v>7.5420860548705004E-3</v>
      </c>
      <c r="BL222" s="77">
        <f t="shared" si="20"/>
        <v>7.2938301102021263E-3</v>
      </c>
    </row>
    <row r="223" spans="1:64" x14ac:dyDescent="0.2">
      <c r="A223" s="28" t="s">
        <v>1215</v>
      </c>
      <c r="C223" s="77">
        <f>SUM(C$70:C$100,C$170:C$200)/SUM(B$70:B$100,B$170:B$200)-1</f>
        <v>3.515781634874271E-2</v>
      </c>
      <c r="D223" s="77">
        <f t="shared" ref="D223:BL223" si="21">SUM(D$70:D$100,D$170:D$200)/SUM(C$70:C$100,C$170:C$200)-1</f>
        <v>3.331350386674603E-2</v>
      </c>
      <c r="E223" s="77">
        <f t="shared" si="21"/>
        <v>3.1141636877267675E-2</v>
      </c>
      <c r="F223" s="77">
        <f t="shared" si="21"/>
        <v>3.1720269550878477E-2</v>
      </c>
      <c r="G223" s="77">
        <f t="shared" si="21"/>
        <v>3.0027686886483718E-2</v>
      </c>
      <c r="H223" s="77">
        <f t="shared" si="21"/>
        <v>2.905456589204114E-2</v>
      </c>
      <c r="I223" s="77">
        <f t="shared" si="21"/>
        <v>2.939779635258355E-2</v>
      </c>
      <c r="J223" s="77">
        <f t="shared" si="21"/>
        <v>3.3010380622837454E-2</v>
      </c>
      <c r="K223" s="77">
        <f t="shared" si="21"/>
        <v>3.2256983988745214E-2</v>
      </c>
      <c r="L223" s="77">
        <f t="shared" si="21"/>
        <v>3.3390660998799282E-2</v>
      </c>
      <c r="M223" s="77">
        <f t="shared" si="21"/>
        <v>3.3766668760074614E-2</v>
      </c>
      <c r="N223" s="77">
        <f t="shared" si="21"/>
        <v>3.2532096715402359E-2</v>
      </c>
      <c r="O223" s="77">
        <f t="shared" si="21"/>
        <v>3.3448718828755553E-2</v>
      </c>
      <c r="P223" s="77">
        <f t="shared" si="21"/>
        <v>3.2394580028086706E-2</v>
      </c>
      <c r="Q223" s="77">
        <f t="shared" si="21"/>
        <v>3.2894615907795854E-2</v>
      </c>
      <c r="R223" s="77">
        <f t="shared" si="21"/>
        <v>3.2300833770833037E-2</v>
      </c>
      <c r="S223" s="77">
        <f t="shared" si="21"/>
        <v>3.0859142667505557E-2</v>
      </c>
      <c r="T223" s="77">
        <f t="shared" si="21"/>
        <v>2.8639278875500773E-2</v>
      </c>
      <c r="U223" s="77">
        <f t="shared" si="21"/>
        <v>2.5663328347532044E-2</v>
      </c>
      <c r="V223" s="77">
        <f t="shared" si="21"/>
        <v>2.4228638456722074E-2</v>
      </c>
      <c r="W223" s="77">
        <f t="shared" si="21"/>
        <v>2.3338234156155657E-2</v>
      </c>
      <c r="X223" s="77">
        <f t="shared" si="21"/>
        <v>2.2843791116555545E-2</v>
      </c>
      <c r="Y223" s="77">
        <f t="shared" si="21"/>
        <v>2.2584961594476205E-2</v>
      </c>
      <c r="Z223" s="77">
        <f t="shared" si="21"/>
        <v>2.1261982909443145E-2</v>
      </c>
      <c r="AA223" s="77">
        <f t="shared" si="21"/>
        <v>2.1718355124838107E-2</v>
      </c>
      <c r="AB223" s="77">
        <f t="shared" si="21"/>
        <v>1.9940276170746341E-2</v>
      </c>
      <c r="AC223" s="77">
        <f t="shared" si="21"/>
        <v>1.7587239910603403E-2</v>
      </c>
      <c r="AD223" s="77">
        <f t="shared" si="21"/>
        <v>1.5527577137211424E-2</v>
      </c>
      <c r="AE223" s="77">
        <f t="shared" si="21"/>
        <v>1.3068286397938556E-2</v>
      </c>
      <c r="AF223" s="77">
        <f t="shared" si="21"/>
        <v>1.1024449750830501E-2</v>
      </c>
      <c r="AG223" s="77">
        <f t="shared" si="21"/>
        <v>1.044213823157536E-2</v>
      </c>
      <c r="AH223" s="77">
        <f t="shared" si="21"/>
        <v>9.1019957062463686E-3</v>
      </c>
      <c r="AI223" s="77">
        <f t="shared" si="21"/>
        <v>9.5612163327478683E-3</v>
      </c>
      <c r="AJ223" s="77">
        <f t="shared" si="21"/>
        <v>9.2773863707213966E-3</v>
      </c>
      <c r="AK223" s="77">
        <f t="shared" si="21"/>
        <v>9.2785925202929498E-3</v>
      </c>
      <c r="AL223" s="77">
        <f t="shared" si="21"/>
        <v>9.4932060227690407E-3</v>
      </c>
      <c r="AM223" s="77">
        <f t="shared" si="21"/>
        <v>9.9920572845613176E-3</v>
      </c>
      <c r="AN223" s="77">
        <f t="shared" si="21"/>
        <v>1.0025273293752468E-2</v>
      </c>
      <c r="AO223" s="77">
        <f t="shared" si="21"/>
        <v>1.0389363384031958E-2</v>
      </c>
      <c r="AP223" s="77">
        <f t="shared" si="21"/>
        <v>1.0935487096831231E-2</v>
      </c>
      <c r="AQ223" s="77">
        <f t="shared" si="21"/>
        <v>1.1748207801880683E-2</v>
      </c>
      <c r="AR223" s="77">
        <f t="shared" si="21"/>
        <v>1.3314162473041069E-2</v>
      </c>
      <c r="AS223" s="77">
        <f t="shared" si="21"/>
        <v>1.4450309325160449E-2</v>
      </c>
      <c r="AT223" s="77">
        <f t="shared" si="21"/>
        <v>1.6247426371855722E-2</v>
      </c>
      <c r="AU223" s="77">
        <f t="shared" si="21"/>
        <v>1.7413565293988187E-2</v>
      </c>
      <c r="AV223" s="77">
        <f t="shared" si="21"/>
        <v>1.6688040778558788E-2</v>
      </c>
      <c r="AW223" s="77">
        <f t="shared" si="21"/>
        <v>1.6169293245408056E-2</v>
      </c>
      <c r="AX223" s="77">
        <f t="shared" si="21"/>
        <v>1.477543538038506E-2</v>
      </c>
      <c r="AY223" s="77">
        <f t="shared" si="21"/>
        <v>1.4173195833720342E-2</v>
      </c>
      <c r="AZ223" s="77">
        <f t="shared" si="21"/>
        <v>1.3242269405370211E-2</v>
      </c>
      <c r="BA223" s="77">
        <f t="shared" si="21"/>
        <v>1.1878811013892987E-2</v>
      </c>
      <c r="BB223" s="77">
        <f t="shared" si="21"/>
        <v>1.0404102075360244E-2</v>
      </c>
      <c r="BC223" s="77">
        <f t="shared" si="21"/>
        <v>9.1277541696348496E-3</v>
      </c>
      <c r="BD223" s="77">
        <f t="shared" si="21"/>
        <v>9.2739992113448633E-3</v>
      </c>
      <c r="BE223" s="77">
        <f t="shared" si="21"/>
        <v>8.1758458021010672E-3</v>
      </c>
      <c r="BF223" s="77">
        <f t="shared" si="21"/>
        <v>6.5594006114453318E-3</v>
      </c>
      <c r="BG223" s="77">
        <f t="shared" si="21"/>
        <v>6.4120845691688633E-3</v>
      </c>
      <c r="BH223" s="77">
        <f t="shared" si="21"/>
        <v>6.716005535273295E-3</v>
      </c>
      <c r="BI223" s="77">
        <f t="shared" si="21"/>
        <v>6.628978912059269E-3</v>
      </c>
      <c r="BJ223" s="77">
        <f t="shared" si="21"/>
        <v>7.1119645054249503E-3</v>
      </c>
      <c r="BK223" s="77">
        <f t="shared" si="21"/>
        <v>8.4500263774098805E-3</v>
      </c>
      <c r="BL223" s="77">
        <f t="shared" si="21"/>
        <v>9.5034875183552803E-3</v>
      </c>
    </row>
  </sheetData>
  <hyperlinks>
    <hyperlink ref="E3" r:id="rId1"/>
    <hyperlink ref="E2" r:id="rId2"/>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86"/>
  <sheetViews>
    <sheetView zoomScale="90" zoomScaleNormal="90" workbookViewId="0">
      <selection activeCell="H2" sqref="H2"/>
    </sheetView>
  </sheetViews>
  <sheetFormatPr defaultColWidth="8.7109375" defaultRowHeight="12.75" x14ac:dyDescent="0.2"/>
  <cols>
    <col min="1" max="2" width="10.7109375" style="28" customWidth="1"/>
    <col min="3" max="7" width="8.7109375" style="28"/>
    <col min="8" max="8" width="8.7109375" style="28" customWidth="1"/>
    <col min="9" max="16384" width="8.7109375" style="28"/>
  </cols>
  <sheetData>
    <row r="1" spans="1:56" ht="15.75" x14ac:dyDescent="0.25">
      <c r="A1" s="59" t="s">
        <v>1105</v>
      </c>
    </row>
    <row r="2" spans="1:56" ht="15" x14ac:dyDescent="0.25">
      <c r="A2" s="68" t="s">
        <v>1106</v>
      </c>
      <c r="H2" s="71" t="s">
        <v>1107</v>
      </c>
      <c r="J2"/>
      <c r="L2" s="71"/>
      <c r="M2" s="68"/>
      <c r="N2"/>
      <c r="O2"/>
      <c r="P2"/>
      <c r="Q2" s="68" t="s">
        <v>1290</v>
      </c>
      <c r="S2"/>
      <c r="T2"/>
      <c r="U2"/>
    </row>
    <row r="3" spans="1:56" ht="15" x14ac:dyDescent="0.25">
      <c r="A3" s="68"/>
      <c r="G3" s="71"/>
      <c r="P3" s="68"/>
    </row>
    <row r="4" spans="1:56" x14ac:dyDescent="0.2">
      <c r="A4" s="72" t="s">
        <v>1108</v>
      </c>
      <c r="E4" s="74" t="s">
        <v>1109</v>
      </c>
      <c r="F4" s="74" t="s">
        <v>1110</v>
      </c>
      <c r="G4" s="74" t="s">
        <v>1111</v>
      </c>
      <c r="H4" s="74" t="s">
        <v>1112</v>
      </c>
      <c r="I4" s="74" t="s">
        <v>1113</v>
      </c>
      <c r="J4" s="74" t="s">
        <v>1114</v>
      </c>
      <c r="K4" s="74" t="s">
        <v>1115</v>
      </c>
      <c r="L4" s="74" t="s">
        <v>1116</v>
      </c>
      <c r="M4" s="74" t="s">
        <v>1117</v>
      </c>
      <c r="N4" s="74" t="s">
        <v>1118</v>
      </c>
      <c r="O4" s="74" t="s">
        <v>1119</v>
      </c>
      <c r="P4" s="74" t="s">
        <v>1120</v>
      </c>
      <c r="Q4" s="74" t="s">
        <v>1121</v>
      </c>
      <c r="R4" s="74" t="s">
        <v>1122</v>
      </c>
      <c r="S4" s="74" t="s">
        <v>1123</v>
      </c>
      <c r="T4" s="74" t="s">
        <v>1124</v>
      </c>
      <c r="U4" s="74" t="s">
        <v>1125</v>
      </c>
      <c r="V4" s="74" t="s">
        <v>1126</v>
      </c>
      <c r="W4" s="74" t="s">
        <v>1127</v>
      </c>
      <c r="X4" s="74" t="s">
        <v>1128</v>
      </c>
      <c r="Y4" s="74" t="s">
        <v>1129</v>
      </c>
      <c r="Z4" s="74" t="s">
        <v>1130</v>
      </c>
      <c r="AA4" s="74" t="s">
        <v>1131</v>
      </c>
      <c r="AB4" s="74" t="s">
        <v>1132</v>
      </c>
      <c r="AC4" s="74" t="s">
        <v>1133</v>
      </c>
      <c r="AD4" s="74" t="s">
        <v>1134</v>
      </c>
      <c r="AE4" s="74" t="s">
        <v>1135</v>
      </c>
      <c r="AF4" s="74" t="s">
        <v>1136</v>
      </c>
      <c r="AG4" s="74" t="s">
        <v>1137</v>
      </c>
      <c r="AH4" s="74" t="s">
        <v>1138</v>
      </c>
      <c r="AI4" s="74" t="s">
        <v>1139</v>
      </c>
      <c r="AJ4" s="74" t="s">
        <v>1140</v>
      </c>
      <c r="AK4" s="74" t="s">
        <v>1141</v>
      </c>
      <c r="AL4" s="74" t="s">
        <v>1142</v>
      </c>
      <c r="AM4" s="74" t="s">
        <v>1143</v>
      </c>
      <c r="AN4" s="74" t="s">
        <v>1144</v>
      </c>
      <c r="AO4" s="74" t="s">
        <v>1145</v>
      </c>
      <c r="AP4" s="74" t="s">
        <v>1146</v>
      </c>
      <c r="AQ4" s="74" t="s">
        <v>1147</v>
      </c>
      <c r="AR4" s="74" t="s">
        <v>1148</v>
      </c>
      <c r="AS4" s="74" t="s">
        <v>1149</v>
      </c>
      <c r="AT4" s="74" t="s">
        <v>1150</v>
      </c>
      <c r="AU4" s="74" t="s">
        <v>1151</v>
      </c>
      <c r="AV4" s="74" t="s">
        <v>1152</v>
      </c>
      <c r="AW4" s="74" t="s">
        <v>1153</v>
      </c>
      <c r="AX4" s="74" t="s">
        <v>1154</v>
      </c>
      <c r="AY4" s="74" t="s">
        <v>1155</v>
      </c>
      <c r="AZ4" s="74" t="s">
        <v>1156</v>
      </c>
      <c r="BA4" s="74" t="s">
        <v>1157</v>
      </c>
      <c r="BB4" s="74" t="s">
        <v>1158</v>
      </c>
      <c r="BC4" s="74" t="s">
        <v>1159</v>
      </c>
      <c r="BD4" s="74" t="s">
        <v>1160</v>
      </c>
    </row>
    <row r="5" spans="1:56" x14ac:dyDescent="0.2">
      <c r="E5" s="75">
        <v>2017</v>
      </c>
      <c r="F5" s="75">
        <v>2018</v>
      </c>
      <c r="G5" s="75">
        <v>2019</v>
      </c>
      <c r="H5" s="75">
        <v>2020</v>
      </c>
      <c r="I5" s="75">
        <v>2021</v>
      </c>
      <c r="J5" s="75">
        <v>2022</v>
      </c>
      <c r="K5" s="75">
        <v>2023</v>
      </c>
      <c r="L5" s="75">
        <v>2024</v>
      </c>
      <c r="M5" s="75">
        <v>2025</v>
      </c>
      <c r="N5" s="75">
        <v>2026</v>
      </c>
      <c r="O5" s="75">
        <v>2027</v>
      </c>
      <c r="P5" s="75">
        <v>2028</v>
      </c>
      <c r="Q5" s="75">
        <v>2029</v>
      </c>
      <c r="R5" s="75">
        <v>2030</v>
      </c>
      <c r="S5" s="75">
        <v>2031</v>
      </c>
      <c r="T5" s="75">
        <v>2032</v>
      </c>
      <c r="U5" s="75">
        <v>2033</v>
      </c>
      <c r="V5" s="75">
        <v>2034</v>
      </c>
      <c r="W5" s="75">
        <v>2035</v>
      </c>
      <c r="X5" s="75">
        <v>2036</v>
      </c>
      <c r="Y5" s="75">
        <v>2037</v>
      </c>
      <c r="Z5" s="75">
        <v>2038</v>
      </c>
      <c r="AA5" s="75">
        <v>2039</v>
      </c>
      <c r="AB5" s="75">
        <v>2040</v>
      </c>
      <c r="AC5" s="75">
        <v>2041</v>
      </c>
      <c r="AD5" s="75">
        <v>2042</v>
      </c>
      <c r="AE5" s="75">
        <v>2043</v>
      </c>
      <c r="AF5" s="75">
        <v>2044</v>
      </c>
      <c r="AG5" s="75">
        <v>2045</v>
      </c>
      <c r="AH5" s="75">
        <v>2046</v>
      </c>
      <c r="AI5" s="75">
        <v>2047</v>
      </c>
      <c r="AJ5" s="75">
        <v>2048</v>
      </c>
      <c r="AK5" s="75">
        <v>2049</v>
      </c>
      <c r="AL5" s="75">
        <v>2050</v>
      </c>
      <c r="AM5" s="75">
        <v>2051</v>
      </c>
      <c r="AN5" s="75">
        <v>2052</v>
      </c>
      <c r="AO5" s="75">
        <v>2053</v>
      </c>
      <c r="AP5" s="75">
        <v>2054</v>
      </c>
      <c r="AQ5" s="75">
        <v>2055</v>
      </c>
      <c r="AR5" s="75">
        <v>2056</v>
      </c>
      <c r="AS5" s="75">
        <v>2057</v>
      </c>
      <c r="AT5" s="75">
        <v>2058</v>
      </c>
      <c r="AU5" s="75">
        <v>2059</v>
      </c>
      <c r="AV5" s="75">
        <v>2060</v>
      </c>
      <c r="AW5" s="75">
        <v>2061</v>
      </c>
      <c r="AX5" s="75">
        <v>2062</v>
      </c>
      <c r="AY5" s="75">
        <v>2063</v>
      </c>
      <c r="AZ5" s="75">
        <v>2064</v>
      </c>
      <c r="BA5" s="75">
        <v>2065</v>
      </c>
      <c r="BB5" s="75">
        <v>2066</v>
      </c>
      <c r="BC5" s="75">
        <v>2067</v>
      </c>
      <c r="BD5" s="75">
        <v>2068</v>
      </c>
    </row>
    <row r="6" spans="1:56" x14ac:dyDescent="0.2">
      <c r="A6" s="72" t="s">
        <v>80</v>
      </c>
      <c r="E6" s="76">
        <f t="shared" ref="E6:BD6" si="0">SUM(E$10:E$75,E$80:E$145)/1000000</f>
        <v>2.6351100000000001</v>
      </c>
      <c r="F6" s="76">
        <f t="shared" si="0"/>
        <v>2.6901299999999999</v>
      </c>
      <c r="G6" s="76">
        <f t="shared" si="0"/>
        <v>2.7380200000000001</v>
      </c>
      <c r="H6" s="76">
        <f t="shared" si="0"/>
        <v>2.77833</v>
      </c>
      <c r="I6" s="76">
        <f t="shared" si="0"/>
        <v>2.8112499999999998</v>
      </c>
      <c r="J6" s="76">
        <f t="shared" si="0"/>
        <v>2.8372899999999999</v>
      </c>
      <c r="K6" s="76">
        <f t="shared" si="0"/>
        <v>2.8627500000000001</v>
      </c>
      <c r="L6" s="76">
        <f t="shared" si="0"/>
        <v>2.88781</v>
      </c>
      <c r="M6" s="76">
        <f t="shared" si="0"/>
        <v>2.9123700000000001</v>
      </c>
      <c r="N6" s="76">
        <f t="shared" si="0"/>
        <v>2.93614</v>
      </c>
      <c r="O6" s="76">
        <f t="shared" si="0"/>
        <v>2.9589400000000001</v>
      </c>
      <c r="P6" s="76">
        <f t="shared" si="0"/>
        <v>2.9808599999999998</v>
      </c>
      <c r="Q6" s="76">
        <f t="shared" si="0"/>
        <v>3.0015900000000002</v>
      </c>
      <c r="R6" s="76">
        <f t="shared" si="0"/>
        <v>3.0214099999999999</v>
      </c>
      <c r="S6" s="76">
        <f t="shared" si="0"/>
        <v>3.04033</v>
      </c>
      <c r="T6" s="76">
        <f t="shared" si="0"/>
        <v>3.0586099999999998</v>
      </c>
      <c r="U6" s="76">
        <f t="shared" si="0"/>
        <v>3.0765899999999999</v>
      </c>
      <c r="V6" s="76">
        <f t="shared" si="0"/>
        <v>3.0942400000000001</v>
      </c>
      <c r="W6" s="76">
        <f t="shared" si="0"/>
        <v>3.11206</v>
      </c>
      <c r="X6" s="76">
        <f t="shared" si="0"/>
        <v>3.1295899999999999</v>
      </c>
      <c r="Y6" s="76">
        <f t="shared" si="0"/>
        <v>3.1473499999999999</v>
      </c>
      <c r="Z6" s="76">
        <f t="shared" si="0"/>
        <v>3.1652100000000001</v>
      </c>
      <c r="AA6" s="76">
        <f t="shared" si="0"/>
        <v>3.1831</v>
      </c>
      <c r="AB6" s="76">
        <f t="shared" si="0"/>
        <v>3.2012499999999999</v>
      </c>
      <c r="AC6" s="76">
        <f t="shared" si="0"/>
        <v>3.21956</v>
      </c>
      <c r="AD6" s="76">
        <f t="shared" si="0"/>
        <v>3.2377699999999998</v>
      </c>
      <c r="AE6" s="76">
        <f t="shared" si="0"/>
        <v>3.2561100000000001</v>
      </c>
      <c r="AF6" s="76">
        <f t="shared" si="0"/>
        <v>3.27399</v>
      </c>
      <c r="AG6" s="76">
        <f t="shared" si="0"/>
        <v>3.2915000000000001</v>
      </c>
      <c r="AH6" s="76">
        <f t="shared" si="0"/>
        <v>3.3087</v>
      </c>
      <c r="AI6" s="76">
        <f t="shared" si="0"/>
        <v>3.3251400000000002</v>
      </c>
      <c r="AJ6" s="76">
        <f t="shared" si="0"/>
        <v>3.3404799999999999</v>
      </c>
      <c r="AK6" s="76">
        <f t="shared" si="0"/>
        <v>3.35494</v>
      </c>
      <c r="AL6" s="76">
        <f t="shared" si="0"/>
        <v>3.3681299999999998</v>
      </c>
      <c r="AM6" s="76">
        <f t="shared" si="0"/>
        <v>3.3801600000000001</v>
      </c>
      <c r="AN6" s="76">
        <f t="shared" si="0"/>
        <v>3.3906900000000002</v>
      </c>
      <c r="AO6" s="76">
        <f t="shared" si="0"/>
        <v>3.3996900000000001</v>
      </c>
      <c r="AP6" s="76">
        <f t="shared" si="0"/>
        <v>3.4074499999999999</v>
      </c>
      <c r="AQ6" s="76">
        <f t="shared" si="0"/>
        <v>3.4138000000000002</v>
      </c>
      <c r="AR6" s="76">
        <f t="shared" si="0"/>
        <v>3.4190200000000002</v>
      </c>
      <c r="AS6" s="76">
        <f t="shared" si="0"/>
        <v>3.4229599999999998</v>
      </c>
      <c r="AT6" s="76">
        <f t="shared" si="0"/>
        <v>3.42611</v>
      </c>
      <c r="AU6" s="76">
        <f t="shared" si="0"/>
        <v>3.4285899999999998</v>
      </c>
      <c r="AV6" s="76">
        <f t="shared" si="0"/>
        <v>3.4306100000000002</v>
      </c>
      <c r="AW6" s="76">
        <f t="shared" si="0"/>
        <v>3.4323899999999998</v>
      </c>
      <c r="AX6" s="76">
        <f t="shared" si="0"/>
        <v>3.4342700000000002</v>
      </c>
      <c r="AY6" s="76">
        <f t="shared" si="0"/>
        <v>3.43635</v>
      </c>
      <c r="AZ6" s="76">
        <f t="shared" si="0"/>
        <v>3.4387699999999999</v>
      </c>
      <c r="BA6" s="76">
        <f t="shared" si="0"/>
        <v>3.44163</v>
      </c>
      <c r="BB6" s="76">
        <f t="shared" si="0"/>
        <v>3.44503</v>
      </c>
      <c r="BC6" s="76">
        <f t="shared" si="0"/>
        <v>3.4489299999999998</v>
      </c>
      <c r="BD6" s="76">
        <f t="shared" si="0"/>
        <v>3.4532400000000001</v>
      </c>
    </row>
    <row r="7" spans="1:56" x14ac:dyDescent="0.2">
      <c r="A7" s="68" t="s">
        <v>1161</v>
      </c>
      <c r="E7" s="77"/>
      <c r="F7" s="77">
        <f t="shared" ref="F7:BD7" si="1">F$6/E$6-1</f>
        <v>2.0879583774491284E-2</v>
      </c>
      <c r="G7" s="77">
        <f t="shared" si="1"/>
        <v>1.7802113652500173E-2</v>
      </c>
      <c r="H7" s="77">
        <f t="shared" si="1"/>
        <v>1.472231758716136E-2</v>
      </c>
      <c r="I7" s="77">
        <f t="shared" si="1"/>
        <v>1.1848844449723339E-2</v>
      </c>
      <c r="J7" s="77">
        <f t="shared" si="1"/>
        <v>9.2627834593153047E-3</v>
      </c>
      <c r="K7" s="77">
        <f t="shared" si="1"/>
        <v>8.9733513317287183E-3</v>
      </c>
      <c r="L7" s="77">
        <f t="shared" si="1"/>
        <v>8.7538206270194596E-3</v>
      </c>
      <c r="M7" s="77">
        <f t="shared" si="1"/>
        <v>8.5047146453540723E-3</v>
      </c>
      <c r="N7" s="77">
        <f t="shared" si="1"/>
        <v>8.1617376912961337E-3</v>
      </c>
      <c r="O7" s="77">
        <f t="shared" si="1"/>
        <v>7.7652972950881249E-3</v>
      </c>
      <c r="P7" s="77">
        <f t="shared" si="1"/>
        <v>7.4080582911446591E-3</v>
      </c>
      <c r="Q7" s="77">
        <f t="shared" si="1"/>
        <v>6.9543688734123865E-3</v>
      </c>
      <c r="R7" s="77">
        <f t="shared" si="1"/>
        <v>6.6031669881627675E-3</v>
      </c>
      <c r="S7" s="77">
        <f t="shared" si="1"/>
        <v>6.2619770239722428E-3</v>
      </c>
      <c r="T7" s="77">
        <f t="shared" si="1"/>
        <v>6.0125052214725638E-3</v>
      </c>
      <c r="U7" s="77">
        <f t="shared" si="1"/>
        <v>5.8784872867088112E-3</v>
      </c>
      <c r="V7" s="77">
        <f t="shared" si="1"/>
        <v>5.7368710162875036E-3</v>
      </c>
      <c r="W7" s="77">
        <f t="shared" si="1"/>
        <v>5.759087853560052E-3</v>
      </c>
      <c r="X7" s="77">
        <f t="shared" si="1"/>
        <v>5.6329248150741584E-3</v>
      </c>
      <c r="Y7" s="77">
        <f t="shared" si="1"/>
        <v>5.6748647586424283E-3</v>
      </c>
      <c r="Z7" s="77">
        <f t="shared" si="1"/>
        <v>5.6746151524298405E-3</v>
      </c>
      <c r="AA7" s="77">
        <f t="shared" si="1"/>
        <v>5.6520736380840653E-3</v>
      </c>
      <c r="AB7" s="77">
        <f t="shared" si="1"/>
        <v>5.7019886274385367E-3</v>
      </c>
      <c r="AC7" s="77">
        <f t="shared" si="1"/>
        <v>5.7196407653261616E-3</v>
      </c>
      <c r="AD7" s="77">
        <f t="shared" si="1"/>
        <v>5.656052379828358E-3</v>
      </c>
      <c r="AE7" s="77">
        <f t="shared" si="1"/>
        <v>5.664392467655377E-3</v>
      </c>
      <c r="AF7" s="77">
        <f t="shared" si="1"/>
        <v>5.4912149773809205E-3</v>
      </c>
      <c r="AG7" s="77">
        <f t="shared" si="1"/>
        <v>5.348214258443118E-3</v>
      </c>
      <c r="AH7" s="77">
        <f t="shared" si="1"/>
        <v>5.2255810420780424E-3</v>
      </c>
      <c r="AI7" s="77">
        <f t="shared" si="1"/>
        <v>4.9687188321698716E-3</v>
      </c>
      <c r="AJ7" s="77">
        <f t="shared" si="1"/>
        <v>4.613339588708909E-3</v>
      </c>
      <c r="AK7" s="77">
        <f t="shared" si="1"/>
        <v>4.3287192259795493E-3</v>
      </c>
      <c r="AL7" s="77">
        <f t="shared" si="1"/>
        <v>3.9315159138464395E-3</v>
      </c>
      <c r="AM7" s="77">
        <f t="shared" si="1"/>
        <v>3.5717148684879518E-3</v>
      </c>
      <c r="AN7" s="77">
        <f t="shared" si="1"/>
        <v>3.115237148537453E-3</v>
      </c>
      <c r="AO7" s="77">
        <f t="shared" si="1"/>
        <v>2.6543269953902549E-3</v>
      </c>
      <c r="AP7" s="77">
        <f t="shared" si="1"/>
        <v>2.2825610570373911E-3</v>
      </c>
      <c r="AQ7" s="77">
        <f t="shared" si="1"/>
        <v>1.8635636619761531E-3</v>
      </c>
      <c r="AR7" s="77">
        <f t="shared" si="1"/>
        <v>1.5290878200246993E-3</v>
      </c>
      <c r="AS7" s="77">
        <f t="shared" si="1"/>
        <v>1.1523769969170594E-3</v>
      </c>
      <c r="AT7" s="77">
        <f t="shared" si="1"/>
        <v>9.2025615256985382E-4</v>
      </c>
      <c r="AU7" s="77">
        <f t="shared" si="1"/>
        <v>7.2385299946575721E-4</v>
      </c>
      <c r="AV7" s="77">
        <f t="shared" si="1"/>
        <v>5.8916347536452918E-4</v>
      </c>
      <c r="AW7" s="77">
        <f t="shared" si="1"/>
        <v>5.1885816225083481E-4</v>
      </c>
      <c r="AX7" s="77">
        <f t="shared" si="1"/>
        <v>5.4772330650076917E-4</v>
      </c>
      <c r="AY7" s="77">
        <f t="shared" si="1"/>
        <v>6.0566000925965646E-4</v>
      </c>
      <c r="AZ7" s="77">
        <f t="shared" si="1"/>
        <v>7.0423559881849229E-4</v>
      </c>
      <c r="BA7" s="77">
        <f t="shared" si="1"/>
        <v>8.3169272734151534E-4</v>
      </c>
      <c r="BB7" s="77">
        <f t="shared" si="1"/>
        <v>9.8790398735482121E-4</v>
      </c>
      <c r="BC7" s="77">
        <f t="shared" si="1"/>
        <v>1.1320656133617657E-3</v>
      </c>
      <c r="BD7" s="77">
        <f t="shared" si="1"/>
        <v>1.2496629389404657E-3</v>
      </c>
    </row>
    <row r="8" spans="1:56" x14ac:dyDescent="0.2">
      <c r="A8" s="72" t="s">
        <v>1162</v>
      </c>
      <c r="E8" s="78">
        <f>100*(1000000*E$6/SUM(Population!M$25:M$100,Population!M$125:M$200))</f>
        <v>68.418825166690894</v>
      </c>
      <c r="F8" s="78">
        <f>100*(1000000*F$6/SUM(Population!N$25:N$100,Population!N$125:N$200))</f>
        <v>68.564372207538653</v>
      </c>
      <c r="G8" s="78">
        <f>100*(1000000*G$6/SUM(Population!O$25:O$100,Population!O$125:O$200))</f>
        <v>68.645625189601446</v>
      </c>
      <c r="H8" s="78">
        <f>100*(1000000*H$6/SUM(Population!P$25:P$100,Population!P$125:P$200))</f>
        <v>68.684518894651745</v>
      </c>
      <c r="I8" s="78">
        <f>100*(1000000*I$6/SUM(Population!Q$25:Q$100,Population!Q$125:Q$200))</f>
        <v>68.655320375213989</v>
      </c>
      <c r="J8" s="78">
        <f>100*(1000000*J$6/SUM(Population!R$25:R$100,Population!R$125:R$200))</f>
        <v>68.550629746047932</v>
      </c>
      <c r="K8" s="78">
        <f>100*(1000000*K$6/SUM(Population!S$25:S$100,Population!S$125:S$200))</f>
        <v>68.399460975691341</v>
      </c>
      <c r="L8" s="78">
        <f>100*(1000000*L$6/SUM(Population!T$25:T$100,Population!T$125:T$200))</f>
        <v>68.251829898064571</v>
      </c>
      <c r="M8" s="78">
        <f>100*(1000000*M$6/SUM(Population!U$25:U$100,Population!U$125:U$200))</f>
        <v>68.085479436682945</v>
      </c>
      <c r="N8" s="78">
        <f>100*(1000000*N$6/SUM(Population!V$25:V$100,Population!V$125:V$200))</f>
        <v>67.930665901634796</v>
      </c>
      <c r="O8" s="78">
        <f>100*(1000000*O$6/SUM(Population!W$25:W$100,Population!W$125:W$200))</f>
        <v>67.783199321925181</v>
      </c>
      <c r="P8" s="78">
        <f>100*(1000000*P$6/SUM(Population!X$25:X$100,Population!X$125:X$200))</f>
        <v>67.637829043654648</v>
      </c>
      <c r="Q8" s="78">
        <f>100*(1000000*Q$6/SUM(Population!Y$25:Y$100,Population!Y$125:Y$200))</f>
        <v>67.505009591878505</v>
      </c>
      <c r="R8" s="78">
        <f>100*(1000000*R$6/SUM(Population!Z$25:Z$100,Population!Z$125:Z$200))</f>
        <v>67.369855133216348</v>
      </c>
      <c r="S8" s="78">
        <f>100*(1000000*S$6/SUM(Population!AA$25:AA$100,Population!AA$125:AA$200))</f>
        <v>67.230025562326972</v>
      </c>
      <c r="T8" s="78">
        <f>100*(1000000*T$6/SUM(Population!AB$25:AB$100,Population!AB$125:AB$200))</f>
        <v>67.079488034248016</v>
      </c>
      <c r="U8" s="78">
        <f>100*(1000000*U$6/SUM(Population!AC$25:AC$100,Population!AC$125:AC$200))</f>
        <v>66.918905750746603</v>
      </c>
      <c r="V8" s="78">
        <f>100*(1000000*V$6/SUM(Population!AD$25:AD$100,Population!AD$125:AD$200))</f>
        <v>66.750655805605405</v>
      </c>
      <c r="W8" s="78">
        <f>100*(1000000*W$6/SUM(Population!AE$25:AE$100,Population!AE$125:AE$200))</f>
        <v>66.59148877895133</v>
      </c>
      <c r="X8" s="78">
        <f>100*(1000000*X$6/SUM(Population!AF$25:AF$100,Population!AF$125:AF$200))</f>
        <v>66.430556115701961</v>
      </c>
      <c r="Y8" s="78">
        <f>100*(1000000*Y$6/SUM(Population!AG$25:AG$100,Population!AG$125:AG$200))</f>
        <v>66.282047502116498</v>
      </c>
      <c r="Z8" s="78">
        <f>100*(1000000*Z$6/SUM(Population!AH$25:AH$100,Population!AH$125:AH$200))</f>
        <v>66.148589341692784</v>
      </c>
      <c r="AA8" s="78">
        <f>100*(1000000*AA$6/SUM(Population!AI$25:AI$100,Population!AI$125:AI$200))</f>
        <v>66.02859697269534</v>
      </c>
      <c r="AB8" s="78">
        <f>100*(1000000*AB$6/SUM(Population!AJ$25:AJ$100,Population!AJ$125:AJ$200))</f>
        <v>65.926450690824765</v>
      </c>
      <c r="AC8" s="78">
        <f>100*(1000000*AC$6/SUM(Population!AK$25:AK$100,Population!AK$125:AK$200))</f>
        <v>65.844924237311361</v>
      </c>
      <c r="AD8" s="78">
        <f>100*(1000000*AD$6/SUM(Population!AL$25:AL$100,Population!AL$125:AL$200))</f>
        <v>65.775044743615524</v>
      </c>
      <c r="AE8" s="78">
        <f>100*(1000000*AE$6/SUM(Population!AM$25:AM$100,Population!AM$125:AM$200))</f>
        <v>65.725029974930067</v>
      </c>
      <c r="AF8" s="78">
        <f>100*(1000000*AF$6/SUM(Population!AN$25:AN$100,Population!AN$125:AN$200))</f>
        <v>65.682100870681708</v>
      </c>
      <c r="AG8" s="78">
        <f>100*(1000000*AG$6/SUM(Population!AO$25:AO$100,Population!AO$125:AO$200))</f>
        <v>65.649987733634376</v>
      </c>
      <c r="AH8" s="78">
        <f>100*(1000000*AH$6/SUM(Population!AP$25:AP$100,Population!AP$125:AP$200))</f>
        <v>65.626933879183127</v>
      </c>
      <c r="AI8" s="78">
        <f>100*(1000000*AI$6/SUM(Population!AQ$25:AQ$100,Population!AQ$125:AQ$200))</f>
        <v>65.607778683203733</v>
      </c>
      <c r="AJ8" s="78">
        <f>100*(1000000*AJ$6/SUM(Population!AR$25:AR$100,Population!AR$125:AR$200))</f>
        <v>65.580361700289771</v>
      </c>
      <c r="AK8" s="78">
        <f>100*(1000000*AK$6/SUM(Population!AS$25:AS$100,Population!AS$125:AS$200))</f>
        <v>65.547679707404001</v>
      </c>
      <c r="AL8" s="78">
        <f>100*(1000000*AL$6/SUM(Population!AT$25:AT$100,Population!AT$125:AT$200))</f>
        <v>65.504371975790761</v>
      </c>
      <c r="AM8" s="78">
        <f>100*(1000000*AM$6/SUM(Population!AU$25:AU$100,Population!AU$125:AU$200))</f>
        <v>65.451545880717305</v>
      </c>
      <c r="AN8" s="78">
        <f>100*(1000000*AN$6/SUM(Population!AV$25:AV$100,Population!AV$125:AV$200))</f>
        <v>65.375931513848585</v>
      </c>
      <c r="AO8" s="78">
        <f>100*(1000000*AO$6/SUM(Population!AW$25:AW$100,Population!AW$125:AW$200))</f>
        <v>65.280858099116898</v>
      </c>
      <c r="AP8" s="78">
        <f>100*(1000000*AP$6/SUM(Population!AX$25:AX$100,Population!AX$125:AX$200))</f>
        <v>65.165838256302962</v>
      </c>
      <c r="AQ8" s="78">
        <f>100*(1000000*AQ$6/SUM(Population!AY$25:AY$100,Population!AY$125:AY$200))</f>
        <v>65.029468799646452</v>
      </c>
      <c r="AR8" s="78">
        <f>100*(1000000*AR$6/SUM(Population!AZ$25:AZ$100,Population!AZ$125:AZ$200))</f>
        <v>64.873469960856042</v>
      </c>
      <c r="AS8" s="78">
        <f>100*(1000000*AS$6/SUM(Population!BA$25:BA$100,Population!BA$125:BA$200))</f>
        <v>64.695598266447675</v>
      </c>
      <c r="AT8" s="78">
        <f>100*(1000000*AT$6/SUM(Population!BB$25:BB$100,Population!BB$125:BB$200))</f>
        <v>64.506174582822624</v>
      </c>
      <c r="AU8" s="78">
        <f>100*(1000000*AU$6/SUM(Population!BC$25:BC$100,Population!BC$125:BC$200))</f>
        <v>64.303223422750946</v>
      </c>
      <c r="AV8" s="78">
        <f>100*(1000000*AV$6/SUM(Population!BD$25:BD$100,Population!BD$125:BD$200))</f>
        <v>64.093122143879356</v>
      </c>
      <c r="AW8" s="78">
        <f>100*(1000000*AW$6/SUM(Population!BE$25:BE$100,Population!BE$125:BE$200))</f>
        <v>63.877908794497294</v>
      </c>
      <c r="AX8" s="78">
        <f>100*(1000000*AX$6/SUM(Population!BF$25:BF$100,Population!BF$125:BF$200))</f>
        <v>63.666210619593713</v>
      </c>
      <c r="AY8" s="78">
        <f>100*(1000000*AY$6/SUM(Population!BG$25:BG$100,Population!BG$125:BG$200))</f>
        <v>63.456786931744738</v>
      </c>
      <c r="AZ8" s="78">
        <f>100*(1000000*AZ$6/SUM(Population!BH$25:BH$100,Population!BH$125:BH$200))</f>
        <v>63.256288802023455</v>
      </c>
      <c r="BA8" s="78">
        <f>100*(1000000*BA$6/SUM(Population!BI$25:BI$100,Population!BI$125:BI$200))</f>
        <v>63.059618083675659</v>
      </c>
      <c r="BB8" s="78">
        <f>100*(1000000*BB$6/SUM(Population!BJ$25:BJ$100,Population!BJ$125:BJ$200))</f>
        <v>62.874460233390884</v>
      </c>
      <c r="BC8" s="78">
        <f>100*(1000000*BC$6/SUM(Population!BK$25:BK$100,Population!BK$125:BK$200))</f>
        <v>62.697102676997019</v>
      </c>
      <c r="BD8" s="78">
        <f>100*(1000000*BD$6/SUM(Population!BL$25:BL$100,Population!BL$125:BL$200))</f>
        <v>62.526979068588396</v>
      </c>
    </row>
    <row r="9" spans="1:56" x14ac:dyDescent="0.2">
      <c r="A9" s="72" t="s">
        <v>1163</v>
      </c>
      <c r="C9" s="72" t="s">
        <v>1164</v>
      </c>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row>
    <row r="10" spans="1:56" x14ac:dyDescent="0.2">
      <c r="C10" s="28">
        <v>15</v>
      </c>
      <c r="E10" s="80">
        <v>5810</v>
      </c>
      <c r="F10" s="80">
        <v>5690</v>
      </c>
      <c r="G10" s="80">
        <v>5720</v>
      </c>
      <c r="H10" s="80">
        <v>5630</v>
      </c>
      <c r="I10" s="80">
        <v>5680</v>
      </c>
      <c r="J10" s="80">
        <v>5850</v>
      </c>
      <c r="K10" s="80">
        <v>5990</v>
      </c>
      <c r="L10" s="80">
        <v>5860</v>
      </c>
      <c r="M10" s="80">
        <v>5950</v>
      </c>
      <c r="N10" s="80">
        <v>5800</v>
      </c>
      <c r="O10" s="80">
        <v>5660</v>
      </c>
      <c r="P10" s="80">
        <v>5530</v>
      </c>
      <c r="Q10" s="80">
        <v>5320</v>
      </c>
      <c r="R10" s="80">
        <v>5260</v>
      </c>
      <c r="S10" s="80">
        <v>5220</v>
      </c>
      <c r="T10" s="80">
        <v>5260</v>
      </c>
      <c r="U10" s="80">
        <v>5320</v>
      </c>
      <c r="V10" s="80">
        <v>5370</v>
      </c>
      <c r="W10" s="80">
        <v>5420</v>
      </c>
      <c r="X10" s="80">
        <v>5440</v>
      </c>
      <c r="Y10" s="80">
        <v>5460</v>
      </c>
      <c r="Z10" s="80">
        <v>5450</v>
      </c>
      <c r="AA10" s="80">
        <v>5440</v>
      </c>
      <c r="AB10" s="80">
        <v>5430</v>
      </c>
      <c r="AC10" s="80">
        <v>5400</v>
      </c>
      <c r="AD10" s="80">
        <v>5360</v>
      </c>
      <c r="AE10" s="80">
        <v>5330</v>
      </c>
      <c r="AF10" s="80">
        <v>5280</v>
      </c>
      <c r="AG10" s="80">
        <v>5240</v>
      </c>
      <c r="AH10" s="80">
        <v>5190</v>
      </c>
      <c r="AI10" s="80">
        <v>5150</v>
      </c>
      <c r="AJ10" s="80">
        <v>5100</v>
      </c>
      <c r="AK10" s="80">
        <v>5070</v>
      </c>
      <c r="AL10" s="80">
        <v>5040</v>
      </c>
      <c r="AM10" s="80">
        <v>5020</v>
      </c>
      <c r="AN10" s="80">
        <v>5010</v>
      </c>
      <c r="AO10" s="80">
        <v>5010</v>
      </c>
      <c r="AP10" s="80">
        <v>5020</v>
      </c>
      <c r="AQ10" s="80">
        <v>5030</v>
      </c>
      <c r="AR10" s="80">
        <v>5040</v>
      </c>
      <c r="AS10" s="80">
        <v>5050</v>
      </c>
      <c r="AT10" s="80">
        <v>5070</v>
      </c>
      <c r="AU10" s="80">
        <v>5080</v>
      </c>
      <c r="AV10" s="80">
        <v>5100</v>
      </c>
      <c r="AW10" s="80">
        <v>5110</v>
      </c>
      <c r="AX10" s="80">
        <v>5120</v>
      </c>
      <c r="AY10" s="80">
        <v>5130</v>
      </c>
      <c r="AZ10" s="80">
        <v>5150</v>
      </c>
      <c r="BA10" s="80">
        <v>5160</v>
      </c>
      <c r="BB10" s="80">
        <v>5170</v>
      </c>
      <c r="BC10" s="80">
        <v>5180</v>
      </c>
      <c r="BD10" s="80">
        <v>5190</v>
      </c>
    </row>
    <row r="11" spans="1:56" x14ac:dyDescent="0.2">
      <c r="C11" s="28">
        <v>16</v>
      </c>
      <c r="E11" s="80">
        <v>11000</v>
      </c>
      <c r="F11" s="80">
        <v>10580</v>
      </c>
      <c r="G11" s="80">
        <v>10500</v>
      </c>
      <c r="H11" s="80">
        <v>10680</v>
      </c>
      <c r="I11" s="80">
        <v>10620</v>
      </c>
      <c r="J11" s="80">
        <v>10830</v>
      </c>
      <c r="K11" s="80">
        <v>11270</v>
      </c>
      <c r="L11" s="80">
        <v>11670</v>
      </c>
      <c r="M11" s="80">
        <v>11520</v>
      </c>
      <c r="N11" s="80">
        <v>11810</v>
      </c>
      <c r="O11" s="80">
        <v>11620</v>
      </c>
      <c r="P11" s="80">
        <v>11440</v>
      </c>
      <c r="Q11" s="80">
        <v>11280</v>
      </c>
      <c r="R11" s="80">
        <v>10930</v>
      </c>
      <c r="S11" s="80">
        <v>10890</v>
      </c>
      <c r="T11" s="80">
        <v>10880</v>
      </c>
      <c r="U11" s="80">
        <v>11030</v>
      </c>
      <c r="V11" s="80">
        <v>11220</v>
      </c>
      <c r="W11" s="80">
        <v>11380</v>
      </c>
      <c r="X11" s="80">
        <v>11530</v>
      </c>
      <c r="Y11" s="80">
        <v>11640</v>
      </c>
      <c r="Z11" s="80">
        <v>11710</v>
      </c>
      <c r="AA11" s="80">
        <v>11750</v>
      </c>
      <c r="AB11" s="80">
        <v>11770</v>
      </c>
      <c r="AC11" s="80">
        <v>11760</v>
      </c>
      <c r="AD11" s="80">
        <v>11740</v>
      </c>
      <c r="AE11" s="80">
        <v>11690</v>
      </c>
      <c r="AF11" s="80">
        <v>11630</v>
      </c>
      <c r="AG11" s="80">
        <v>11560</v>
      </c>
      <c r="AH11" s="80">
        <v>11480</v>
      </c>
      <c r="AI11" s="80">
        <v>11400</v>
      </c>
      <c r="AJ11" s="80">
        <v>11320</v>
      </c>
      <c r="AK11" s="80">
        <v>11240</v>
      </c>
      <c r="AL11" s="80">
        <v>11180</v>
      </c>
      <c r="AM11" s="80">
        <v>11130</v>
      </c>
      <c r="AN11" s="80">
        <v>11100</v>
      </c>
      <c r="AO11" s="80">
        <v>11080</v>
      </c>
      <c r="AP11" s="80">
        <v>11080</v>
      </c>
      <c r="AQ11" s="80">
        <v>11100</v>
      </c>
      <c r="AR11" s="80">
        <v>11120</v>
      </c>
      <c r="AS11" s="80">
        <v>11150</v>
      </c>
      <c r="AT11" s="80">
        <v>11190</v>
      </c>
      <c r="AU11" s="80">
        <v>11220</v>
      </c>
      <c r="AV11" s="80">
        <v>11250</v>
      </c>
      <c r="AW11" s="80">
        <v>11280</v>
      </c>
      <c r="AX11" s="80">
        <v>11310</v>
      </c>
      <c r="AY11" s="80">
        <v>11340</v>
      </c>
      <c r="AZ11" s="80">
        <v>11370</v>
      </c>
      <c r="BA11" s="80">
        <v>11400</v>
      </c>
      <c r="BB11" s="80">
        <v>11420</v>
      </c>
      <c r="BC11" s="80">
        <v>11450</v>
      </c>
      <c r="BD11" s="80">
        <v>11470</v>
      </c>
    </row>
    <row r="12" spans="1:56" x14ac:dyDescent="0.2">
      <c r="C12" s="28">
        <v>17</v>
      </c>
      <c r="E12" s="80">
        <v>15110</v>
      </c>
      <c r="F12" s="80">
        <v>14820</v>
      </c>
      <c r="G12" s="80">
        <v>14190</v>
      </c>
      <c r="H12" s="80">
        <v>14000</v>
      </c>
      <c r="I12" s="80">
        <v>14170</v>
      </c>
      <c r="J12" s="80">
        <v>14020</v>
      </c>
      <c r="K12" s="80">
        <v>14250</v>
      </c>
      <c r="L12" s="80">
        <v>14760</v>
      </c>
      <c r="M12" s="80">
        <v>15230</v>
      </c>
      <c r="N12" s="80">
        <v>14990</v>
      </c>
      <c r="O12" s="80">
        <v>15320</v>
      </c>
      <c r="P12" s="80">
        <v>15040</v>
      </c>
      <c r="Q12" s="80">
        <v>14770</v>
      </c>
      <c r="R12" s="80">
        <v>14530</v>
      </c>
      <c r="S12" s="80">
        <v>14060</v>
      </c>
      <c r="T12" s="80">
        <v>13980</v>
      </c>
      <c r="U12" s="80">
        <v>13930</v>
      </c>
      <c r="V12" s="80">
        <v>14100</v>
      </c>
      <c r="W12" s="80">
        <v>14320</v>
      </c>
      <c r="X12" s="80">
        <v>14510</v>
      </c>
      <c r="Y12" s="80">
        <v>14670</v>
      </c>
      <c r="Z12" s="80">
        <v>14790</v>
      </c>
      <c r="AA12" s="80">
        <v>14860</v>
      </c>
      <c r="AB12" s="80">
        <v>14900</v>
      </c>
      <c r="AC12" s="80">
        <v>14910</v>
      </c>
      <c r="AD12" s="80">
        <v>14890</v>
      </c>
      <c r="AE12" s="80">
        <v>14850</v>
      </c>
      <c r="AF12" s="80">
        <v>14790</v>
      </c>
      <c r="AG12" s="80">
        <v>14710</v>
      </c>
      <c r="AH12" s="80">
        <v>14610</v>
      </c>
      <c r="AI12" s="80">
        <v>14510</v>
      </c>
      <c r="AJ12" s="80">
        <v>14400</v>
      </c>
      <c r="AK12" s="80">
        <v>14290</v>
      </c>
      <c r="AL12" s="80">
        <v>14190</v>
      </c>
      <c r="AM12" s="80">
        <v>14110</v>
      </c>
      <c r="AN12" s="80">
        <v>14040</v>
      </c>
      <c r="AO12" s="80">
        <v>14000</v>
      </c>
      <c r="AP12" s="80">
        <v>13980</v>
      </c>
      <c r="AQ12" s="80">
        <v>13980</v>
      </c>
      <c r="AR12" s="80">
        <v>14000</v>
      </c>
      <c r="AS12" s="80">
        <v>14030</v>
      </c>
      <c r="AT12" s="80">
        <v>14060</v>
      </c>
      <c r="AU12" s="80">
        <v>14110</v>
      </c>
      <c r="AV12" s="80">
        <v>14150</v>
      </c>
      <c r="AW12" s="80">
        <v>14190</v>
      </c>
      <c r="AX12" s="80">
        <v>14230</v>
      </c>
      <c r="AY12" s="80">
        <v>14270</v>
      </c>
      <c r="AZ12" s="80">
        <v>14300</v>
      </c>
      <c r="BA12" s="80">
        <v>14330</v>
      </c>
      <c r="BB12" s="80">
        <v>14370</v>
      </c>
      <c r="BC12" s="80">
        <v>14400</v>
      </c>
      <c r="BD12" s="80">
        <v>14430</v>
      </c>
    </row>
    <row r="13" spans="1:56" x14ac:dyDescent="0.2">
      <c r="C13" s="28">
        <v>18</v>
      </c>
      <c r="E13" s="80">
        <v>17490</v>
      </c>
      <c r="F13" s="80">
        <v>18000</v>
      </c>
      <c r="G13" s="80">
        <v>17630</v>
      </c>
      <c r="H13" s="80">
        <v>16850</v>
      </c>
      <c r="I13" s="80">
        <v>16600</v>
      </c>
      <c r="J13" s="80">
        <v>16760</v>
      </c>
      <c r="K13" s="80">
        <v>16580</v>
      </c>
      <c r="L13" s="80">
        <v>16860</v>
      </c>
      <c r="M13" s="80">
        <v>17460</v>
      </c>
      <c r="N13" s="80">
        <v>18020</v>
      </c>
      <c r="O13" s="80">
        <v>17740</v>
      </c>
      <c r="P13" s="80">
        <v>18130</v>
      </c>
      <c r="Q13" s="80">
        <v>17810</v>
      </c>
      <c r="R13" s="80">
        <v>17490</v>
      </c>
      <c r="S13" s="80">
        <v>17210</v>
      </c>
      <c r="T13" s="80">
        <v>16660</v>
      </c>
      <c r="U13" s="80">
        <v>16570</v>
      </c>
      <c r="V13" s="80">
        <v>16520</v>
      </c>
      <c r="W13" s="80">
        <v>16720</v>
      </c>
      <c r="X13" s="80">
        <v>16980</v>
      </c>
      <c r="Y13" s="80">
        <v>17200</v>
      </c>
      <c r="Z13" s="80">
        <v>17390</v>
      </c>
      <c r="AA13" s="80">
        <v>17540</v>
      </c>
      <c r="AB13" s="80">
        <v>17630</v>
      </c>
      <c r="AC13" s="80">
        <v>17680</v>
      </c>
      <c r="AD13" s="80">
        <v>17690</v>
      </c>
      <c r="AE13" s="80">
        <v>17670</v>
      </c>
      <c r="AF13" s="80">
        <v>17620</v>
      </c>
      <c r="AG13" s="80">
        <v>17550</v>
      </c>
      <c r="AH13" s="80">
        <v>17460</v>
      </c>
      <c r="AI13" s="80">
        <v>17350</v>
      </c>
      <c r="AJ13" s="80">
        <v>17220</v>
      </c>
      <c r="AK13" s="80">
        <v>17100</v>
      </c>
      <c r="AL13" s="80">
        <v>16970</v>
      </c>
      <c r="AM13" s="80">
        <v>16860</v>
      </c>
      <c r="AN13" s="80">
        <v>16760</v>
      </c>
      <c r="AO13" s="80">
        <v>16680</v>
      </c>
      <c r="AP13" s="80">
        <v>16630</v>
      </c>
      <c r="AQ13" s="80">
        <v>16610</v>
      </c>
      <c r="AR13" s="80">
        <v>16610</v>
      </c>
      <c r="AS13" s="80">
        <v>16630</v>
      </c>
      <c r="AT13" s="80">
        <v>16670</v>
      </c>
      <c r="AU13" s="80">
        <v>16710</v>
      </c>
      <c r="AV13" s="80">
        <v>16760</v>
      </c>
      <c r="AW13" s="80">
        <v>16810</v>
      </c>
      <c r="AX13" s="80">
        <v>16860</v>
      </c>
      <c r="AY13" s="80">
        <v>16910</v>
      </c>
      <c r="AZ13" s="80">
        <v>16950</v>
      </c>
      <c r="BA13" s="80">
        <v>16990</v>
      </c>
      <c r="BB13" s="80">
        <v>17030</v>
      </c>
      <c r="BC13" s="80">
        <v>17070</v>
      </c>
      <c r="BD13" s="80">
        <v>17110</v>
      </c>
    </row>
    <row r="14" spans="1:56" x14ac:dyDescent="0.2">
      <c r="C14" s="28">
        <v>19</v>
      </c>
      <c r="E14" s="80">
        <v>20070</v>
      </c>
      <c r="F14" s="80">
        <v>19620</v>
      </c>
      <c r="G14" s="80">
        <v>20160</v>
      </c>
      <c r="H14" s="80">
        <v>19720</v>
      </c>
      <c r="I14" s="80">
        <v>18830</v>
      </c>
      <c r="J14" s="80">
        <v>18520</v>
      </c>
      <c r="K14" s="80">
        <v>18730</v>
      </c>
      <c r="L14" s="80">
        <v>18570</v>
      </c>
      <c r="M14" s="80">
        <v>18910</v>
      </c>
      <c r="N14" s="80">
        <v>19610</v>
      </c>
      <c r="O14" s="80">
        <v>20260</v>
      </c>
      <c r="P14" s="80">
        <v>19980</v>
      </c>
      <c r="Q14" s="80">
        <v>20440</v>
      </c>
      <c r="R14" s="80">
        <v>20100</v>
      </c>
      <c r="S14" s="80">
        <v>19760</v>
      </c>
      <c r="T14" s="80">
        <v>19470</v>
      </c>
      <c r="U14" s="80">
        <v>18870</v>
      </c>
      <c r="V14" s="80">
        <v>18790</v>
      </c>
      <c r="W14" s="80">
        <v>18750</v>
      </c>
      <c r="X14" s="80">
        <v>18990</v>
      </c>
      <c r="Y14" s="80">
        <v>19290</v>
      </c>
      <c r="Z14" s="80">
        <v>19560</v>
      </c>
      <c r="AA14" s="80">
        <v>19790</v>
      </c>
      <c r="AB14" s="80">
        <v>19960</v>
      </c>
      <c r="AC14" s="80">
        <v>20080</v>
      </c>
      <c r="AD14" s="80">
        <v>20140</v>
      </c>
      <c r="AE14" s="80">
        <v>20160</v>
      </c>
      <c r="AF14" s="80">
        <v>20150</v>
      </c>
      <c r="AG14" s="80">
        <v>20100</v>
      </c>
      <c r="AH14" s="80">
        <v>20020</v>
      </c>
      <c r="AI14" s="80">
        <v>19920</v>
      </c>
      <c r="AJ14" s="80">
        <v>19800</v>
      </c>
      <c r="AK14" s="80">
        <v>19670</v>
      </c>
      <c r="AL14" s="80">
        <v>19530</v>
      </c>
      <c r="AM14" s="80">
        <v>19390</v>
      </c>
      <c r="AN14" s="80">
        <v>19260</v>
      </c>
      <c r="AO14" s="80">
        <v>19150</v>
      </c>
      <c r="AP14" s="80">
        <v>19070</v>
      </c>
      <c r="AQ14" s="80">
        <v>19010</v>
      </c>
      <c r="AR14" s="80">
        <v>18990</v>
      </c>
      <c r="AS14" s="80">
        <v>18990</v>
      </c>
      <c r="AT14" s="80">
        <v>19020</v>
      </c>
      <c r="AU14" s="80">
        <v>19060</v>
      </c>
      <c r="AV14" s="80">
        <v>19110</v>
      </c>
      <c r="AW14" s="80">
        <v>19160</v>
      </c>
      <c r="AX14" s="80">
        <v>19220</v>
      </c>
      <c r="AY14" s="80">
        <v>19280</v>
      </c>
      <c r="AZ14" s="80">
        <v>19330</v>
      </c>
      <c r="BA14" s="80">
        <v>19380</v>
      </c>
      <c r="BB14" s="80">
        <v>19430</v>
      </c>
      <c r="BC14" s="80">
        <v>19470</v>
      </c>
      <c r="BD14" s="80">
        <v>19520</v>
      </c>
    </row>
    <row r="15" spans="1:56" x14ac:dyDescent="0.2">
      <c r="C15" s="28">
        <v>20</v>
      </c>
      <c r="E15" s="80">
        <v>22130</v>
      </c>
      <c r="F15" s="80">
        <v>21730</v>
      </c>
      <c r="G15" s="80">
        <v>21240</v>
      </c>
      <c r="H15" s="80">
        <v>21790</v>
      </c>
      <c r="I15" s="80">
        <v>21300</v>
      </c>
      <c r="J15" s="80">
        <v>20310</v>
      </c>
      <c r="K15" s="80">
        <v>20030</v>
      </c>
      <c r="L15" s="80">
        <v>20290</v>
      </c>
      <c r="M15" s="80">
        <v>20160</v>
      </c>
      <c r="N15" s="80">
        <v>20560</v>
      </c>
      <c r="O15" s="80">
        <v>21360</v>
      </c>
      <c r="P15" s="80">
        <v>22100</v>
      </c>
      <c r="Q15" s="80">
        <v>21830</v>
      </c>
      <c r="R15" s="80">
        <v>22360</v>
      </c>
      <c r="S15" s="80">
        <v>22030</v>
      </c>
      <c r="T15" s="80">
        <v>21690</v>
      </c>
      <c r="U15" s="80">
        <v>21390</v>
      </c>
      <c r="V15" s="80">
        <v>20760</v>
      </c>
      <c r="W15" s="80">
        <v>20700</v>
      </c>
      <c r="X15" s="80">
        <v>20670</v>
      </c>
      <c r="Y15" s="80">
        <v>20950</v>
      </c>
      <c r="Z15" s="80">
        <v>21300</v>
      </c>
      <c r="AA15" s="80">
        <v>21610</v>
      </c>
      <c r="AB15" s="80">
        <v>21870</v>
      </c>
      <c r="AC15" s="80">
        <v>22080</v>
      </c>
      <c r="AD15" s="80">
        <v>22220</v>
      </c>
      <c r="AE15" s="80">
        <v>22290</v>
      </c>
      <c r="AF15" s="80">
        <v>22330</v>
      </c>
      <c r="AG15" s="80">
        <v>22320</v>
      </c>
      <c r="AH15" s="80">
        <v>22280</v>
      </c>
      <c r="AI15" s="80">
        <v>22200</v>
      </c>
      <c r="AJ15" s="80">
        <v>22090</v>
      </c>
      <c r="AK15" s="80">
        <v>21970</v>
      </c>
      <c r="AL15" s="80">
        <v>21820</v>
      </c>
      <c r="AM15" s="80">
        <v>21670</v>
      </c>
      <c r="AN15" s="80">
        <v>21520</v>
      </c>
      <c r="AO15" s="80">
        <v>21390</v>
      </c>
      <c r="AP15" s="80">
        <v>21270</v>
      </c>
      <c r="AQ15" s="80">
        <v>21180</v>
      </c>
      <c r="AR15" s="80">
        <v>21120</v>
      </c>
      <c r="AS15" s="80">
        <v>21090</v>
      </c>
      <c r="AT15" s="80">
        <v>21100</v>
      </c>
      <c r="AU15" s="80">
        <v>21120</v>
      </c>
      <c r="AV15" s="80">
        <v>21170</v>
      </c>
      <c r="AW15" s="80">
        <v>21230</v>
      </c>
      <c r="AX15" s="80">
        <v>21290</v>
      </c>
      <c r="AY15" s="80">
        <v>21350</v>
      </c>
      <c r="AZ15" s="80">
        <v>21410</v>
      </c>
      <c r="BA15" s="80">
        <v>21470</v>
      </c>
      <c r="BB15" s="80">
        <v>21530</v>
      </c>
      <c r="BC15" s="80">
        <v>21580</v>
      </c>
      <c r="BD15" s="80">
        <v>21630</v>
      </c>
    </row>
    <row r="16" spans="1:56" x14ac:dyDescent="0.2">
      <c r="C16" s="28">
        <v>21</v>
      </c>
      <c r="E16" s="80">
        <v>23010</v>
      </c>
      <c r="F16" s="80">
        <v>23310</v>
      </c>
      <c r="G16" s="80">
        <v>22880</v>
      </c>
      <c r="H16" s="80">
        <v>22330</v>
      </c>
      <c r="I16" s="80">
        <v>22880</v>
      </c>
      <c r="J16" s="80">
        <v>22330</v>
      </c>
      <c r="K16" s="80">
        <v>21350</v>
      </c>
      <c r="L16" s="80">
        <v>21090</v>
      </c>
      <c r="M16" s="80">
        <v>21420</v>
      </c>
      <c r="N16" s="80">
        <v>21320</v>
      </c>
      <c r="O16" s="80">
        <v>21780</v>
      </c>
      <c r="P16" s="80">
        <v>22670</v>
      </c>
      <c r="Q16" s="80">
        <v>23500</v>
      </c>
      <c r="R16" s="80">
        <v>23240</v>
      </c>
      <c r="S16" s="80">
        <v>23840</v>
      </c>
      <c r="T16" s="80">
        <v>23510</v>
      </c>
      <c r="U16" s="80">
        <v>23180</v>
      </c>
      <c r="V16" s="80">
        <v>22890</v>
      </c>
      <c r="W16" s="80">
        <v>22240</v>
      </c>
      <c r="X16" s="80">
        <v>22180</v>
      </c>
      <c r="Y16" s="80">
        <v>22170</v>
      </c>
      <c r="Z16" s="80">
        <v>22490</v>
      </c>
      <c r="AA16" s="80">
        <v>22880</v>
      </c>
      <c r="AB16" s="80">
        <v>23230</v>
      </c>
      <c r="AC16" s="80">
        <v>23530</v>
      </c>
      <c r="AD16" s="80">
        <v>23760</v>
      </c>
      <c r="AE16" s="80">
        <v>23920</v>
      </c>
      <c r="AF16" s="80">
        <v>24020</v>
      </c>
      <c r="AG16" s="80">
        <v>24060</v>
      </c>
      <c r="AH16" s="80">
        <v>24060</v>
      </c>
      <c r="AI16" s="80">
        <v>24020</v>
      </c>
      <c r="AJ16" s="80">
        <v>23950</v>
      </c>
      <c r="AK16" s="80">
        <v>23840</v>
      </c>
      <c r="AL16" s="80">
        <v>23700</v>
      </c>
      <c r="AM16" s="80">
        <v>23550</v>
      </c>
      <c r="AN16" s="80">
        <v>23390</v>
      </c>
      <c r="AO16" s="80">
        <v>23230</v>
      </c>
      <c r="AP16" s="80">
        <v>23090</v>
      </c>
      <c r="AQ16" s="80">
        <v>22960</v>
      </c>
      <c r="AR16" s="80">
        <v>22870</v>
      </c>
      <c r="AS16" s="80">
        <v>22800</v>
      </c>
      <c r="AT16" s="80">
        <v>22780</v>
      </c>
      <c r="AU16" s="80">
        <v>22780</v>
      </c>
      <c r="AV16" s="80">
        <v>22810</v>
      </c>
      <c r="AW16" s="80">
        <v>22860</v>
      </c>
      <c r="AX16" s="80">
        <v>22920</v>
      </c>
      <c r="AY16" s="80">
        <v>22990</v>
      </c>
      <c r="AZ16" s="80">
        <v>23060</v>
      </c>
      <c r="BA16" s="80">
        <v>23130</v>
      </c>
      <c r="BB16" s="80">
        <v>23190</v>
      </c>
      <c r="BC16" s="80">
        <v>23250</v>
      </c>
      <c r="BD16" s="80">
        <v>23300</v>
      </c>
    </row>
    <row r="17" spans="3:56" x14ac:dyDescent="0.2">
      <c r="C17" s="28">
        <v>22</v>
      </c>
      <c r="E17" s="80">
        <v>24230</v>
      </c>
      <c r="F17" s="80">
        <v>24230</v>
      </c>
      <c r="G17" s="80">
        <v>24450</v>
      </c>
      <c r="H17" s="80">
        <v>23900</v>
      </c>
      <c r="I17" s="80">
        <v>23240</v>
      </c>
      <c r="J17" s="80">
        <v>23710</v>
      </c>
      <c r="K17" s="80">
        <v>23160</v>
      </c>
      <c r="L17" s="80">
        <v>22160</v>
      </c>
      <c r="M17" s="80">
        <v>21920</v>
      </c>
      <c r="N17" s="80">
        <v>22290</v>
      </c>
      <c r="O17" s="80">
        <v>22210</v>
      </c>
      <c r="P17" s="80">
        <v>22710</v>
      </c>
      <c r="Q17" s="80">
        <v>23660</v>
      </c>
      <c r="R17" s="80">
        <v>24560</v>
      </c>
      <c r="S17" s="80">
        <v>24310</v>
      </c>
      <c r="T17" s="80">
        <v>24960</v>
      </c>
      <c r="U17" s="80">
        <v>24620</v>
      </c>
      <c r="V17" s="80">
        <v>24280</v>
      </c>
      <c r="W17" s="80">
        <v>23990</v>
      </c>
      <c r="X17" s="80">
        <v>23310</v>
      </c>
      <c r="Y17" s="80">
        <v>23270</v>
      </c>
      <c r="Z17" s="80">
        <v>23270</v>
      </c>
      <c r="AA17" s="80">
        <v>23610</v>
      </c>
      <c r="AB17" s="80">
        <v>24030</v>
      </c>
      <c r="AC17" s="80">
        <v>24410</v>
      </c>
      <c r="AD17" s="80">
        <v>24730</v>
      </c>
      <c r="AE17" s="80">
        <v>24990</v>
      </c>
      <c r="AF17" s="80">
        <v>25160</v>
      </c>
      <c r="AG17" s="80">
        <v>25260</v>
      </c>
      <c r="AH17" s="80">
        <v>25320</v>
      </c>
      <c r="AI17" s="80">
        <v>25320</v>
      </c>
      <c r="AJ17" s="80">
        <v>25280</v>
      </c>
      <c r="AK17" s="80">
        <v>25200</v>
      </c>
      <c r="AL17" s="80">
        <v>25090</v>
      </c>
      <c r="AM17" s="80">
        <v>24950</v>
      </c>
      <c r="AN17" s="80">
        <v>24790</v>
      </c>
      <c r="AO17" s="80">
        <v>24620</v>
      </c>
      <c r="AP17" s="80">
        <v>24460</v>
      </c>
      <c r="AQ17" s="80">
        <v>24300</v>
      </c>
      <c r="AR17" s="80">
        <v>24170</v>
      </c>
      <c r="AS17" s="80">
        <v>24070</v>
      </c>
      <c r="AT17" s="80">
        <v>24000</v>
      </c>
      <c r="AU17" s="80">
        <v>23970</v>
      </c>
      <c r="AV17" s="80">
        <v>23980</v>
      </c>
      <c r="AW17" s="80">
        <v>24010</v>
      </c>
      <c r="AX17" s="80">
        <v>24070</v>
      </c>
      <c r="AY17" s="80">
        <v>24130</v>
      </c>
      <c r="AZ17" s="80">
        <v>24200</v>
      </c>
      <c r="BA17" s="80">
        <v>24270</v>
      </c>
      <c r="BB17" s="80">
        <v>24340</v>
      </c>
      <c r="BC17" s="80">
        <v>24410</v>
      </c>
      <c r="BD17" s="80">
        <v>24480</v>
      </c>
    </row>
    <row r="18" spans="3:56" x14ac:dyDescent="0.2">
      <c r="C18" s="28">
        <v>23</v>
      </c>
      <c r="E18" s="80">
        <v>25020</v>
      </c>
      <c r="F18" s="80">
        <v>25440</v>
      </c>
      <c r="G18" s="80">
        <v>25300</v>
      </c>
      <c r="H18" s="80">
        <v>25390</v>
      </c>
      <c r="I18" s="80">
        <v>24670</v>
      </c>
      <c r="J18" s="80">
        <v>23840</v>
      </c>
      <c r="K18" s="80">
        <v>24340</v>
      </c>
      <c r="L18" s="80">
        <v>23800</v>
      </c>
      <c r="M18" s="80">
        <v>22790</v>
      </c>
      <c r="N18" s="80">
        <v>22560</v>
      </c>
      <c r="O18" s="80">
        <v>22950</v>
      </c>
      <c r="P18" s="80">
        <v>22890</v>
      </c>
      <c r="Q18" s="80">
        <v>23430</v>
      </c>
      <c r="R18" s="80">
        <v>24430</v>
      </c>
      <c r="S18" s="80">
        <v>25370</v>
      </c>
      <c r="T18" s="80">
        <v>25130</v>
      </c>
      <c r="U18" s="80">
        <v>25810</v>
      </c>
      <c r="V18" s="80">
        <v>25480</v>
      </c>
      <c r="W18" s="80">
        <v>25140</v>
      </c>
      <c r="X18" s="80">
        <v>24840</v>
      </c>
      <c r="Y18" s="80">
        <v>24140</v>
      </c>
      <c r="Z18" s="80">
        <v>24100</v>
      </c>
      <c r="AA18" s="80">
        <v>24100</v>
      </c>
      <c r="AB18" s="80">
        <v>24470</v>
      </c>
      <c r="AC18" s="80">
        <v>24920</v>
      </c>
      <c r="AD18" s="80">
        <v>25310</v>
      </c>
      <c r="AE18" s="80">
        <v>25660</v>
      </c>
      <c r="AF18" s="80">
        <v>25930</v>
      </c>
      <c r="AG18" s="80">
        <v>26110</v>
      </c>
      <c r="AH18" s="80">
        <v>26220</v>
      </c>
      <c r="AI18" s="80">
        <v>26280</v>
      </c>
      <c r="AJ18" s="80">
        <v>26290</v>
      </c>
      <c r="AK18" s="80">
        <v>26250</v>
      </c>
      <c r="AL18" s="80">
        <v>26170</v>
      </c>
      <c r="AM18" s="80">
        <v>26050</v>
      </c>
      <c r="AN18" s="80">
        <v>25900</v>
      </c>
      <c r="AO18" s="80">
        <v>25740</v>
      </c>
      <c r="AP18" s="80">
        <v>25560</v>
      </c>
      <c r="AQ18" s="80">
        <v>25390</v>
      </c>
      <c r="AR18" s="80">
        <v>25230</v>
      </c>
      <c r="AS18" s="80">
        <v>25090</v>
      </c>
      <c r="AT18" s="80">
        <v>24990</v>
      </c>
      <c r="AU18" s="80">
        <v>24920</v>
      </c>
      <c r="AV18" s="80">
        <v>24890</v>
      </c>
      <c r="AW18" s="80">
        <v>24890</v>
      </c>
      <c r="AX18" s="80">
        <v>24930</v>
      </c>
      <c r="AY18" s="80">
        <v>24980</v>
      </c>
      <c r="AZ18" s="80">
        <v>25050</v>
      </c>
      <c r="BA18" s="80">
        <v>25130</v>
      </c>
      <c r="BB18" s="80">
        <v>25200</v>
      </c>
      <c r="BC18" s="80">
        <v>25280</v>
      </c>
      <c r="BD18" s="80">
        <v>25350</v>
      </c>
    </row>
    <row r="19" spans="3:56" x14ac:dyDescent="0.2">
      <c r="C19" s="28">
        <v>24</v>
      </c>
      <c r="E19" s="80">
        <v>26370</v>
      </c>
      <c r="F19" s="80">
        <v>26220</v>
      </c>
      <c r="G19" s="80">
        <v>26500</v>
      </c>
      <c r="H19" s="80">
        <v>26190</v>
      </c>
      <c r="I19" s="80">
        <v>26120</v>
      </c>
      <c r="J19" s="80">
        <v>25230</v>
      </c>
      <c r="K19" s="80">
        <v>24400</v>
      </c>
      <c r="L19" s="80">
        <v>24940</v>
      </c>
      <c r="M19" s="80">
        <v>24400</v>
      </c>
      <c r="N19" s="80">
        <v>23380</v>
      </c>
      <c r="O19" s="80">
        <v>23150</v>
      </c>
      <c r="P19" s="80">
        <v>23580</v>
      </c>
      <c r="Q19" s="80">
        <v>23520</v>
      </c>
      <c r="R19" s="80">
        <v>24100</v>
      </c>
      <c r="S19" s="80">
        <v>25140</v>
      </c>
      <c r="T19" s="80">
        <v>26120</v>
      </c>
      <c r="U19" s="80">
        <v>25880</v>
      </c>
      <c r="V19" s="80">
        <v>26600</v>
      </c>
      <c r="W19" s="80">
        <v>26260</v>
      </c>
      <c r="X19" s="80">
        <v>25920</v>
      </c>
      <c r="Y19" s="80">
        <v>25620</v>
      </c>
      <c r="Z19" s="80">
        <v>24900</v>
      </c>
      <c r="AA19" s="80">
        <v>24870</v>
      </c>
      <c r="AB19" s="80">
        <v>24870</v>
      </c>
      <c r="AC19" s="80">
        <v>25260</v>
      </c>
      <c r="AD19" s="80">
        <v>25720</v>
      </c>
      <c r="AE19" s="80">
        <v>26140</v>
      </c>
      <c r="AF19" s="80">
        <v>26500</v>
      </c>
      <c r="AG19" s="80">
        <v>26780</v>
      </c>
      <c r="AH19" s="80">
        <v>26970</v>
      </c>
      <c r="AI19" s="80">
        <v>27090</v>
      </c>
      <c r="AJ19" s="80">
        <v>27150</v>
      </c>
      <c r="AK19" s="80">
        <v>27160</v>
      </c>
      <c r="AL19" s="80">
        <v>27120</v>
      </c>
      <c r="AM19" s="80">
        <v>27040</v>
      </c>
      <c r="AN19" s="80">
        <v>26920</v>
      </c>
      <c r="AO19" s="80">
        <v>26770</v>
      </c>
      <c r="AP19" s="80">
        <v>26600</v>
      </c>
      <c r="AQ19" s="80">
        <v>26420</v>
      </c>
      <c r="AR19" s="80">
        <v>26240</v>
      </c>
      <c r="AS19" s="80">
        <v>26070</v>
      </c>
      <c r="AT19" s="80">
        <v>25930</v>
      </c>
      <c r="AU19" s="80">
        <v>25820</v>
      </c>
      <c r="AV19" s="80">
        <v>25750</v>
      </c>
      <c r="AW19" s="80">
        <v>25720</v>
      </c>
      <c r="AX19" s="80">
        <v>25720</v>
      </c>
      <c r="AY19" s="80">
        <v>25760</v>
      </c>
      <c r="AZ19" s="80">
        <v>25820</v>
      </c>
      <c r="BA19" s="80">
        <v>25890</v>
      </c>
      <c r="BB19" s="80">
        <v>25970</v>
      </c>
      <c r="BC19" s="80">
        <v>26040</v>
      </c>
      <c r="BD19" s="80">
        <v>26120</v>
      </c>
    </row>
    <row r="20" spans="3:56" x14ac:dyDescent="0.2">
      <c r="C20" s="28">
        <v>25</v>
      </c>
      <c r="E20" s="80">
        <v>27070</v>
      </c>
      <c r="F20" s="80">
        <v>27610</v>
      </c>
      <c r="G20" s="80">
        <v>27310</v>
      </c>
      <c r="H20" s="80">
        <v>27430</v>
      </c>
      <c r="I20" s="80">
        <v>26960</v>
      </c>
      <c r="J20" s="80">
        <v>26720</v>
      </c>
      <c r="K20" s="80">
        <v>25820</v>
      </c>
      <c r="L20" s="80">
        <v>25000</v>
      </c>
      <c r="M20" s="80">
        <v>25570</v>
      </c>
      <c r="N20" s="80">
        <v>25040</v>
      </c>
      <c r="O20" s="80">
        <v>24000</v>
      </c>
      <c r="P20" s="80">
        <v>23790</v>
      </c>
      <c r="Q20" s="80">
        <v>24240</v>
      </c>
      <c r="R20" s="80">
        <v>24190</v>
      </c>
      <c r="S20" s="80">
        <v>24790</v>
      </c>
      <c r="T20" s="80">
        <v>25870</v>
      </c>
      <c r="U20" s="80">
        <v>26890</v>
      </c>
      <c r="V20" s="80">
        <v>26640</v>
      </c>
      <c r="W20" s="80">
        <v>27390</v>
      </c>
      <c r="X20" s="80">
        <v>27050</v>
      </c>
      <c r="Y20" s="80">
        <v>26700</v>
      </c>
      <c r="Z20" s="80">
        <v>26400</v>
      </c>
      <c r="AA20" s="80">
        <v>25670</v>
      </c>
      <c r="AB20" s="80">
        <v>25640</v>
      </c>
      <c r="AC20" s="80">
        <v>25650</v>
      </c>
      <c r="AD20" s="80">
        <v>26050</v>
      </c>
      <c r="AE20" s="80">
        <v>26530</v>
      </c>
      <c r="AF20" s="80">
        <v>26960</v>
      </c>
      <c r="AG20" s="80">
        <v>27330</v>
      </c>
      <c r="AH20" s="80">
        <v>27620</v>
      </c>
      <c r="AI20" s="80">
        <v>27820</v>
      </c>
      <c r="AJ20" s="80">
        <v>27940</v>
      </c>
      <c r="AK20" s="80">
        <v>28010</v>
      </c>
      <c r="AL20" s="80">
        <v>28020</v>
      </c>
      <c r="AM20" s="80">
        <v>27980</v>
      </c>
      <c r="AN20" s="80">
        <v>27890</v>
      </c>
      <c r="AO20" s="80">
        <v>27770</v>
      </c>
      <c r="AP20" s="80">
        <v>27620</v>
      </c>
      <c r="AQ20" s="80">
        <v>27440</v>
      </c>
      <c r="AR20" s="80">
        <v>27260</v>
      </c>
      <c r="AS20" s="80">
        <v>27070</v>
      </c>
      <c r="AT20" s="80">
        <v>26900</v>
      </c>
      <c r="AU20" s="80">
        <v>26760</v>
      </c>
      <c r="AV20" s="80">
        <v>26640</v>
      </c>
      <c r="AW20" s="80">
        <v>26570</v>
      </c>
      <c r="AX20" s="80">
        <v>26540</v>
      </c>
      <c r="AY20" s="80">
        <v>26550</v>
      </c>
      <c r="AZ20" s="80">
        <v>26580</v>
      </c>
      <c r="BA20" s="80">
        <v>26640</v>
      </c>
      <c r="BB20" s="80">
        <v>26710</v>
      </c>
      <c r="BC20" s="80">
        <v>26790</v>
      </c>
      <c r="BD20" s="80">
        <v>26870</v>
      </c>
    </row>
    <row r="21" spans="3:56" x14ac:dyDescent="0.2">
      <c r="C21" s="28">
        <v>26</v>
      </c>
      <c r="E21" s="80">
        <v>28080</v>
      </c>
      <c r="F21" s="80">
        <v>28240</v>
      </c>
      <c r="G21" s="80">
        <v>28630</v>
      </c>
      <c r="H21" s="80">
        <v>28160</v>
      </c>
      <c r="I21" s="80">
        <v>28120</v>
      </c>
      <c r="J21" s="80">
        <v>27480</v>
      </c>
      <c r="K21" s="80">
        <v>27240</v>
      </c>
      <c r="L21" s="80">
        <v>26340</v>
      </c>
      <c r="M21" s="80">
        <v>25510</v>
      </c>
      <c r="N21" s="80">
        <v>26090</v>
      </c>
      <c r="O21" s="80">
        <v>25550</v>
      </c>
      <c r="P21" s="80">
        <v>24510</v>
      </c>
      <c r="Q21" s="80">
        <v>24290</v>
      </c>
      <c r="R21" s="80">
        <v>24750</v>
      </c>
      <c r="S21" s="80">
        <v>24700</v>
      </c>
      <c r="T21" s="80">
        <v>25310</v>
      </c>
      <c r="U21" s="80">
        <v>26400</v>
      </c>
      <c r="V21" s="80">
        <v>27430</v>
      </c>
      <c r="W21" s="80">
        <v>27190</v>
      </c>
      <c r="X21" s="80">
        <v>27950</v>
      </c>
      <c r="Y21" s="80">
        <v>27600</v>
      </c>
      <c r="Z21" s="80">
        <v>27250</v>
      </c>
      <c r="AA21" s="80">
        <v>26940</v>
      </c>
      <c r="AB21" s="80">
        <v>26210</v>
      </c>
      <c r="AC21" s="80">
        <v>26170</v>
      </c>
      <c r="AD21" s="80">
        <v>26190</v>
      </c>
      <c r="AE21" s="80">
        <v>26590</v>
      </c>
      <c r="AF21" s="80">
        <v>27070</v>
      </c>
      <c r="AG21" s="80">
        <v>27510</v>
      </c>
      <c r="AH21" s="80">
        <v>27880</v>
      </c>
      <c r="AI21" s="80">
        <v>28180</v>
      </c>
      <c r="AJ21" s="80">
        <v>28380</v>
      </c>
      <c r="AK21" s="80">
        <v>28500</v>
      </c>
      <c r="AL21" s="80">
        <v>28570</v>
      </c>
      <c r="AM21" s="80">
        <v>28580</v>
      </c>
      <c r="AN21" s="80">
        <v>28540</v>
      </c>
      <c r="AO21" s="80">
        <v>28450</v>
      </c>
      <c r="AP21" s="80">
        <v>28330</v>
      </c>
      <c r="AQ21" s="80">
        <v>28170</v>
      </c>
      <c r="AR21" s="80">
        <v>27990</v>
      </c>
      <c r="AS21" s="80">
        <v>27810</v>
      </c>
      <c r="AT21" s="80">
        <v>27620</v>
      </c>
      <c r="AU21" s="80">
        <v>27450</v>
      </c>
      <c r="AV21" s="80">
        <v>27300</v>
      </c>
      <c r="AW21" s="80">
        <v>27180</v>
      </c>
      <c r="AX21" s="80">
        <v>27110</v>
      </c>
      <c r="AY21" s="80">
        <v>27080</v>
      </c>
      <c r="AZ21" s="80">
        <v>27080</v>
      </c>
      <c r="BA21" s="80">
        <v>27120</v>
      </c>
      <c r="BB21" s="80">
        <v>27180</v>
      </c>
      <c r="BC21" s="80">
        <v>27250</v>
      </c>
      <c r="BD21" s="80">
        <v>27340</v>
      </c>
    </row>
    <row r="22" spans="3:56" x14ac:dyDescent="0.2">
      <c r="C22" s="28">
        <v>27</v>
      </c>
      <c r="E22" s="80">
        <v>27320</v>
      </c>
      <c r="F22" s="80">
        <v>29010</v>
      </c>
      <c r="G22" s="80">
        <v>29020</v>
      </c>
      <c r="H22" s="80">
        <v>29260</v>
      </c>
      <c r="I22" s="80">
        <v>28640</v>
      </c>
      <c r="J22" s="80">
        <v>28440</v>
      </c>
      <c r="K22" s="80">
        <v>27790</v>
      </c>
      <c r="L22" s="80">
        <v>27550</v>
      </c>
      <c r="M22" s="80">
        <v>26640</v>
      </c>
      <c r="N22" s="80">
        <v>25800</v>
      </c>
      <c r="O22" s="80">
        <v>26380</v>
      </c>
      <c r="P22" s="80">
        <v>25840</v>
      </c>
      <c r="Q22" s="80">
        <v>24790</v>
      </c>
      <c r="R22" s="80">
        <v>24570</v>
      </c>
      <c r="S22" s="80">
        <v>25020</v>
      </c>
      <c r="T22" s="80">
        <v>24970</v>
      </c>
      <c r="U22" s="80">
        <v>25580</v>
      </c>
      <c r="V22" s="80">
        <v>26660</v>
      </c>
      <c r="W22" s="80">
        <v>27690</v>
      </c>
      <c r="X22" s="80">
        <v>27440</v>
      </c>
      <c r="Y22" s="80">
        <v>28200</v>
      </c>
      <c r="Z22" s="80">
        <v>27850</v>
      </c>
      <c r="AA22" s="80">
        <v>27500</v>
      </c>
      <c r="AB22" s="80">
        <v>27190</v>
      </c>
      <c r="AC22" s="80">
        <v>26450</v>
      </c>
      <c r="AD22" s="80">
        <v>26410</v>
      </c>
      <c r="AE22" s="80">
        <v>26420</v>
      </c>
      <c r="AF22" s="80">
        <v>26820</v>
      </c>
      <c r="AG22" s="80">
        <v>27310</v>
      </c>
      <c r="AH22" s="80">
        <v>27740</v>
      </c>
      <c r="AI22" s="80">
        <v>28110</v>
      </c>
      <c r="AJ22" s="80">
        <v>28400</v>
      </c>
      <c r="AK22" s="80">
        <v>28600</v>
      </c>
      <c r="AL22" s="80">
        <v>28720</v>
      </c>
      <c r="AM22" s="80">
        <v>28790</v>
      </c>
      <c r="AN22" s="80">
        <v>28800</v>
      </c>
      <c r="AO22" s="80">
        <v>28760</v>
      </c>
      <c r="AP22" s="80">
        <v>28670</v>
      </c>
      <c r="AQ22" s="80">
        <v>28540</v>
      </c>
      <c r="AR22" s="80">
        <v>28390</v>
      </c>
      <c r="AS22" s="80">
        <v>28210</v>
      </c>
      <c r="AT22" s="80">
        <v>28020</v>
      </c>
      <c r="AU22" s="80">
        <v>27840</v>
      </c>
      <c r="AV22" s="80">
        <v>27660</v>
      </c>
      <c r="AW22" s="80">
        <v>27520</v>
      </c>
      <c r="AX22" s="80">
        <v>27400</v>
      </c>
      <c r="AY22" s="80">
        <v>27330</v>
      </c>
      <c r="AZ22" s="80">
        <v>27300</v>
      </c>
      <c r="BA22" s="80">
        <v>27300</v>
      </c>
      <c r="BB22" s="80">
        <v>27340</v>
      </c>
      <c r="BC22" s="80">
        <v>27400</v>
      </c>
      <c r="BD22" s="80">
        <v>27470</v>
      </c>
    </row>
    <row r="23" spans="3:56" x14ac:dyDescent="0.2">
      <c r="C23" s="28">
        <v>28</v>
      </c>
      <c r="E23" s="80">
        <v>26180</v>
      </c>
      <c r="F23" s="80">
        <v>28250</v>
      </c>
      <c r="G23" s="80">
        <v>29820</v>
      </c>
      <c r="H23" s="80">
        <v>29700</v>
      </c>
      <c r="I23" s="80">
        <v>29810</v>
      </c>
      <c r="J23" s="80">
        <v>29060</v>
      </c>
      <c r="K23" s="80">
        <v>28860</v>
      </c>
      <c r="L23" s="80">
        <v>28210</v>
      </c>
      <c r="M23" s="80">
        <v>27960</v>
      </c>
      <c r="N23" s="80">
        <v>27050</v>
      </c>
      <c r="O23" s="80">
        <v>26200</v>
      </c>
      <c r="P23" s="80">
        <v>26770</v>
      </c>
      <c r="Q23" s="80">
        <v>26230</v>
      </c>
      <c r="R23" s="80">
        <v>25180</v>
      </c>
      <c r="S23" s="80">
        <v>24960</v>
      </c>
      <c r="T23" s="80">
        <v>25400</v>
      </c>
      <c r="U23" s="80">
        <v>25350</v>
      </c>
      <c r="V23" s="80">
        <v>25950</v>
      </c>
      <c r="W23" s="80">
        <v>27040</v>
      </c>
      <c r="X23" s="80">
        <v>28060</v>
      </c>
      <c r="Y23" s="80">
        <v>27810</v>
      </c>
      <c r="Z23" s="80">
        <v>28560</v>
      </c>
      <c r="AA23" s="80">
        <v>28220</v>
      </c>
      <c r="AB23" s="80">
        <v>27860</v>
      </c>
      <c r="AC23" s="80">
        <v>27550</v>
      </c>
      <c r="AD23" s="80">
        <v>26810</v>
      </c>
      <c r="AE23" s="80">
        <v>26770</v>
      </c>
      <c r="AF23" s="80">
        <v>26780</v>
      </c>
      <c r="AG23" s="80">
        <v>27180</v>
      </c>
      <c r="AH23" s="80">
        <v>27660</v>
      </c>
      <c r="AI23" s="80">
        <v>28090</v>
      </c>
      <c r="AJ23" s="80">
        <v>28460</v>
      </c>
      <c r="AK23" s="80">
        <v>28750</v>
      </c>
      <c r="AL23" s="80">
        <v>28950</v>
      </c>
      <c r="AM23" s="80">
        <v>29070</v>
      </c>
      <c r="AN23" s="80">
        <v>29140</v>
      </c>
      <c r="AO23" s="80">
        <v>29140</v>
      </c>
      <c r="AP23" s="80">
        <v>29100</v>
      </c>
      <c r="AQ23" s="80">
        <v>29010</v>
      </c>
      <c r="AR23" s="80">
        <v>28890</v>
      </c>
      <c r="AS23" s="80">
        <v>28730</v>
      </c>
      <c r="AT23" s="80">
        <v>28550</v>
      </c>
      <c r="AU23" s="80">
        <v>28370</v>
      </c>
      <c r="AV23" s="80">
        <v>28180</v>
      </c>
      <c r="AW23" s="80">
        <v>28010</v>
      </c>
      <c r="AX23" s="80">
        <v>27860</v>
      </c>
      <c r="AY23" s="80">
        <v>27740</v>
      </c>
      <c r="AZ23" s="80">
        <v>27670</v>
      </c>
      <c r="BA23" s="80">
        <v>27640</v>
      </c>
      <c r="BB23" s="80">
        <v>27650</v>
      </c>
      <c r="BC23" s="80">
        <v>27680</v>
      </c>
      <c r="BD23" s="80">
        <v>27740</v>
      </c>
    </row>
    <row r="24" spans="3:56" x14ac:dyDescent="0.2">
      <c r="C24" s="28">
        <v>29</v>
      </c>
      <c r="E24" s="80">
        <v>25960</v>
      </c>
      <c r="F24" s="80">
        <v>27090</v>
      </c>
      <c r="G24" s="80">
        <v>29060</v>
      </c>
      <c r="H24" s="80">
        <v>30530</v>
      </c>
      <c r="I24" s="80">
        <v>30300</v>
      </c>
      <c r="J24" s="80">
        <v>30310</v>
      </c>
      <c r="K24" s="80">
        <v>29550</v>
      </c>
      <c r="L24" s="80">
        <v>29350</v>
      </c>
      <c r="M24" s="80">
        <v>28680</v>
      </c>
      <c r="N24" s="80">
        <v>28430</v>
      </c>
      <c r="O24" s="80">
        <v>27520</v>
      </c>
      <c r="P24" s="80">
        <v>26670</v>
      </c>
      <c r="Q24" s="80">
        <v>27240</v>
      </c>
      <c r="R24" s="80">
        <v>26690</v>
      </c>
      <c r="S24" s="80">
        <v>25630</v>
      </c>
      <c r="T24" s="80">
        <v>25410</v>
      </c>
      <c r="U24" s="80">
        <v>25850</v>
      </c>
      <c r="V24" s="80">
        <v>25800</v>
      </c>
      <c r="W24" s="80">
        <v>26400</v>
      </c>
      <c r="X24" s="80">
        <v>27490</v>
      </c>
      <c r="Y24" s="80">
        <v>28510</v>
      </c>
      <c r="Z24" s="80">
        <v>28260</v>
      </c>
      <c r="AA24" s="80">
        <v>29010</v>
      </c>
      <c r="AB24" s="80">
        <v>28660</v>
      </c>
      <c r="AC24" s="80">
        <v>28300</v>
      </c>
      <c r="AD24" s="80">
        <v>27980</v>
      </c>
      <c r="AE24" s="80">
        <v>27240</v>
      </c>
      <c r="AF24" s="80">
        <v>27200</v>
      </c>
      <c r="AG24" s="80">
        <v>27210</v>
      </c>
      <c r="AH24" s="80">
        <v>27610</v>
      </c>
      <c r="AI24" s="80">
        <v>28090</v>
      </c>
      <c r="AJ24" s="80">
        <v>28520</v>
      </c>
      <c r="AK24" s="80">
        <v>28890</v>
      </c>
      <c r="AL24" s="80">
        <v>29180</v>
      </c>
      <c r="AM24" s="80">
        <v>29380</v>
      </c>
      <c r="AN24" s="80">
        <v>29500</v>
      </c>
      <c r="AO24" s="80">
        <v>29560</v>
      </c>
      <c r="AP24" s="80">
        <v>29570</v>
      </c>
      <c r="AQ24" s="80">
        <v>29520</v>
      </c>
      <c r="AR24" s="80">
        <v>29440</v>
      </c>
      <c r="AS24" s="80">
        <v>29310</v>
      </c>
      <c r="AT24" s="80">
        <v>29150</v>
      </c>
      <c r="AU24" s="80">
        <v>28980</v>
      </c>
      <c r="AV24" s="80">
        <v>28790</v>
      </c>
      <c r="AW24" s="80">
        <v>28600</v>
      </c>
      <c r="AX24" s="80">
        <v>28430</v>
      </c>
      <c r="AY24" s="80">
        <v>28280</v>
      </c>
      <c r="AZ24" s="80">
        <v>28170</v>
      </c>
      <c r="BA24" s="80">
        <v>28090</v>
      </c>
      <c r="BB24" s="80">
        <v>28060</v>
      </c>
      <c r="BC24" s="80">
        <v>28070</v>
      </c>
      <c r="BD24" s="80">
        <v>28110</v>
      </c>
    </row>
    <row r="25" spans="3:56" x14ac:dyDescent="0.2">
      <c r="C25" s="28">
        <v>30</v>
      </c>
      <c r="E25" s="80">
        <v>24720</v>
      </c>
      <c r="F25" s="80">
        <v>26700</v>
      </c>
      <c r="G25" s="80">
        <v>27720</v>
      </c>
      <c r="H25" s="80">
        <v>29600</v>
      </c>
      <c r="I25" s="80">
        <v>30970</v>
      </c>
      <c r="J25" s="80">
        <v>30640</v>
      </c>
      <c r="K25" s="80">
        <v>30630</v>
      </c>
      <c r="L25" s="80">
        <v>29870</v>
      </c>
      <c r="M25" s="80">
        <v>29660</v>
      </c>
      <c r="N25" s="80">
        <v>28990</v>
      </c>
      <c r="O25" s="80">
        <v>28730</v>
      </c>
      <c r="P25" s="80">
        <v>27810</v>
      </c>
      <c r="Q25" s="80">
        <v>26960</v>
      </c>
      <c r="R25" s="80">
        <v>27520</v>
      </c>
      <c r="S25" s="80">
        <v>26970</v>
      </c>
      <c r="T25" s="80">
        <v>25910</v>
      </c>
      <c r="U25" s="80">
        <v>25680</v>
      </c>
      <c r="V25" s="80">
        <v>26120</v>
      </c>
      <c r="W25" s="80">
        <v>26070</v>
      </c>
      <c r="X25" s="80">
        <v>26660</v>
      </c>
      <c r="Y25" s="80">
        <v>27740</v>
      </c>
      <c r="Z25" s="80">
        <v>28750</v>
      </c>
      <c r="AA25" s="80">
        <v>28500</v>
      </c>
      <c r="AB25" s="80">
        <v>29240</v>
      </c>
      <c r="AC25" s="80">
        <v>28890</v>
      </c>
      <c r="AD25" s="80">
        <v>28530</v>
      </c>
      <c r="AE25" s="80">
        <v>28220</v>
      </c>
      <c r="AF25" s="80">
        <v>27480</v>
      </c>
      <c r="AG25" s="80">
        <v>27440</v>
      </c>
      <c r="AH25" s="80">
        <v>27440</v>
      </c>
      <c r="AI25" s="80">
        <v>27840</v>
      </c>
      <c r="AJ25" s="80">
        <v>28310</v>
      </c>
      <c r="AK25" s="80">
        <v>28740</v>
      </c>
      <c r="AL25" s="80">
        <v>29100</v>
      </c>
      <c r="AM25" s="80">
        <v>29390</v>
      </c>
      <c r="AN25" s="80">
        <v>29590</v>
      </c>
      <c r="AO25" s="80">
        <v>29710</v>
      </c>
      <c r="AP25" s="80">
        <v>29770</v>
      </c>
      <c r="AQ25" s="80">
        <v>29780</v>
      </c>
      <c r="AR25" s="80">
        <v>29730</v>
      </c>
      <c r="AS25" s="80">
        <v>29640</v>
      </c>
      <c r="AT25" s="80">
        <v>29520</v>
      </c>
      <c r="AU25" s="80">
        <v>29360</v>
      </c>
      <c r="AV25" s="80">
        <v>29190</v>
      </c>
      <c r="AW25" s="80">
        <v>29000</v>
      </c>
      <c r="AX25" s="80">
        <v>28810</v>
      </c>
      <c r="AY25" s="80">
        <v>28640</v>
      </c>
      <c r="AZ25" s="80">
        <v>28490</v>
      </c>
      <c r="BA25" s="80">
        <v>28380</v>
      </c>
      <c r="BB25" s="80">
        <v>28310</v>
      </c>
      <c r="BC25" s="80">
        <v>28280</v>
      </c>
      <c r="BD25" s="80">
        <v>28280</v>
      </c>
    </row>
    <row r="26" spans="3:56" x14ac:dyDescent="0.2">
      <c r="C26" s="28">
        <v>31</v>
      </c>
      <c r="E26" s="80">
        <v>24220</v>
      </c>
      <c r="F26" s="80">
        <v>25430</v>
      </c>
      <c r="G26" s="80">
        <v>27320</v>
      </c>
      <c r="H26" s="80">
        <v>28260</v>
      </c>
      <c r="I26" s="80">
        <v>30040</v>
      </c>
      <c r="J26" s="80">
        <v>31310</v>
      </c>
      <c r="K26" s="80">
        <v>30970</v>
      </c>
      <c r="L26" s="80">
        <v>30950</v>
      </c>
      <c r="M26" s="80">
        <v>30180</v>
      </c>
      <c r="N26" s="80">
        <v>29960</v>
      </c>
      <c r="O26" s="80">
        <v>29290</v>
      </c>
      <c r="P26" s="80">
        <v>29020</v>
      </c>
      <c r="Q26" s="80">
        <v>28090</v>
      </c>
      <c r="R26" s="80">
        <v>27240</v>
      </c>
      <c r="S26" s="80">
        <v>27800</v>
      </c>
      <c r="T26" s="80">
        <v>27240</v>
      </c>
      <c r="U26" s="80">
        <v>26180</v>
      </c>
      <c r="V26" s="80">
        <v>25950</v>
      </c>
      <c r="W26" s="80">
        <v>26380</v>
      </c>
      <c r="X26" s="80">
        <v>26320</v>
      </c>
      <c r="Y26" s="80">
        <v>26910</v>
      </c>
      <c r="Z26" s="80">
        <v>27980</v>
      </c>
      <c r="AA26" s="80">
        <v>28990</v>
      </c>
      <c r="AB26" s="80">
        <v>28740</v>
      </c>
      <c r="AC26" s="80">
        <v>29470</v>
      </c>
      <c r="AD26" s="80">
        <v>29120</v>
      </c>
      <c r="AE26" s="80">
        <v>28760</v>
      </c>
      <c r="AF26" s="80">
        <v>28440</v>
      </c>
      <c r="AG26" s="80">
        <v>27700</v>
      </c>
      <c r="AH26" s="80">
        <v>27660</v>
      </c>
      <c r="AI26" s="80">
        <v>27660</v>
      </c>
      <c r="AJ26" s="80">
        <v>28060</v>
      </c>
      <c r="AK26" s="80">
        <v>28530</v>
      </c>
      <c r="AL26" s="80">
        <v>28950</v>
      </c>
      <c r="AM26" s="80">
        <v>29320</v>
      </c>
      <c r="AN26" s="80">
        <v>29600</v>
      </c>
      <c r="AO26" s="80">
        <v>29800</v>
      </c>
      <c r="AP26" s="80">
        <v>29910</v>
      </c>
      <c r="AQ26" s="80">
        <v>29980</v>
      </c>
      <c r="AR26" s="80">
        <v>29980</v>
      </c>
      <c r="AS26" s="80">
        <v>29940</v>
      </c>
      <c r="AT26" s="80">
        <v>29850</v>
      </c>
      <c r="AU26" s="80">
        <v>29720</v>
      </c>
      <c r="AV26" s="80">
        <v>29570</v>
      </c>
      <c r="AW26" s="80">
        <v>29390</v>
      </c>
      <c r="AX26" s="80">
        <v>29200</v>
      </c>
      <c r="AY26" s="80">
        <v>29020</v>
      </c>
      <c r="AZ26" s="80">
        <v>28850</v>
      </c>
      <c r="BA26" s="80">
        <v>28700</v>
      </c>
      <c r="BB26" s="80">
        <v>28590</v>
      </c>
      <c r="BC26" s="80">
        <v>28520</v>
      </c>
      <c r="BD26" s="80">
        <v>28490</v>
      </c>
    </row>
    <row r="27" spans="3:56" x14ac:dyDescent="0.2">
      <c r="C27" s="28">
        <v>32</v>
      </c>
      <c r="E27" s="80">
        <v>24150</v>
      </c>
      <c r="F27" s="80">
        <v>24850</v>
      </c>
      <c r="G27" s="80">
        <v>25980</v>
      </c>
      <c r="H27" s="80">
        <v>27800</v>
      </c>
      <c r="I27" s="80">
        <v>28650</v>
      </c>
      <c r="J27" s="80">
        <v>30350</v>
      </c>
      <c r="K27" s="80">
        <v>31610</v>
      </c>
      <c r="L27" s="80">
        <v>31260</v>
      </c>
      <c r="M27" s="80">
        <v>31240</v>
      </c>
      <c r="N27" s="80">
        <v>30460</v>
      </c>
      <c r="O27" s="80">
        <v>30230</v>
      </c>
      <c r="P27" s="80">
        <v>29540</v>
      </c>
      <c r="Q27" s="80">
        <v>29270</v>
      </c>
      <c r="R27" s="80">
        <v>28340</v>
      </c>
      <c r="S27" s="80">
        <v>27470</v>
      </c>
      <c r="T27" s="80">
        <v>28030</v>
      </c>
      <c r="U27" s="80">
        <v>27460</v>
      </c>
      <c r="V27" s="80">
        <v>26400</v>
      </c>
      <c r="W27" s="80">
        <v>26160</v>
      </c>
      <c r="X27" s="80">
        <v>26590</v>
      </c>
      <c r="Y27" s="80">
        <v>26530</v>
      </c>
      <c r="Z27" s="80">
        <v>27110</v>
      </c>
      <c r="AA27" s="80">
        <v>28180</v>
      </c>
      <c r="AB27" s="80">
        <v>29190</v>
      </c>
      <c r="AC27" s="80">
        <v>28930</v>
      </c>
      <c r="AD27" s="80">
        <v>29660</v>
      </c>
      <c r="AE27" s="80">
        <v>29310</v>
      </c>
      <c r="AF27" s="80">
        <v>28950</v>
      </c>
      <c r="AG27" s="80">
        <v>28630</v>
      </c>
      <c r="AH27" s="80">
        <v>27890</v>
      </c>
      <c r="AI27" s="80">
        <v>27840</v>
      </c>
      <c r="AJ27" s="80">
        <v>27840</v>
      </c>
      <c r="AK27" s="80">
        <v>28230</v>
      </c>
      <c r="AL27" s="80">
        <v>28700</v>
      </c>
      <c r="AM27" s="80">
        <v>29130</v>
      </c>
      <c r="AN27" s="80">
        <v>29490</v>
      </c>
      <c r="AO27" s="80">
        <v>29770</v>
      </c>
      <c r="AP27" s="80">
        <v>29970</v>
      </c>
      <c r="AQ27" s="80">
        <v>30080</v>
      </c>
      <c r="AR27" s="80">
        <v>30140</v>
      </c>
      <c r="AS27" s="80">
        <v>30150</v>
      </c>
      <c r="AT27" s="80">
        <v>30100</v>
      </c>
      <c r="AU27" s="80">
        <v>30020</v>
      </c>
      <c r="AV27" s="80">
        <v>29890</v>
      </c>
      <c r="AW27" s="80">
        <v>29740</v>
      </c>
      <c r="AX27" s="80">
        <v>29560</v>
      </c>
      <c r="AY27" s="80">
        <v>29370</v>
      </c>
      <c r="AZ27" s="80">
        <v>29190</v>
      </c>
      <c r="BA27" s="80">
        <v>29020</v>
      </c>
      <c r="BB27" s="80">
        <v>28870</v>
      </c>
      <c r="BC27" s="80">
        <v>28760</v>
      </c>
      <c r="BD27" s="80">
        <v>28680</v>
      </c>
    </row>
    <row r="28" spans="3:56" x14ac:dyDescent="0.2">
      <c r="C28" s="28">
        <v>33</v>
      </c>
      <c r="E28" s="80">
        <v>23520</v>
      </c>
      <c r="F28" s="80">
        <v>24650</v>
      </c>
      <c r="G28" s="80">
        <v>25290</v>
      </c>
      <c r="H28" s="80">
        <v>26350</v>
      </c>
      <c r="I28" s="80">
        <v>28090</v>
      </c>
      <c r="J28" s="80">
        <v>28870</v>
      </c>
      <c r="K28" s="80">
        <v>30560</v>
      </c>
      <c r="L28" s="80">
        <v>31810</v>
      </c>
      <c r="M28" s="80">
        <v>31450</v>
      </c>
      <c r="N28" s="80">
        <v>31410</v>
      </c>
      <c r="O28" s="80">
        <v>30620</v>
      </c>
      <c r="P28" s="80">
        <v>30380</v>
      </c>
      <c r="Q28" s="80">
        <v>29690</v>
      </c>
      <c r="R28" s="80">
        <v>29400</v>
      </c>
      <c r="S28" s="80">
        <v>28460</v>
      </c>
      <c r="T28" s="80">
        <v>27590</v>
      </c>
      <c r="U28" s="80">
        <v>28140</v>
      </c>
      <c r="V28" s="80">
        <v>27570</v>
      </c>
      <c r="W28" s="80">
        <v>26500</v>
      </c>
      <c r="X28" s="80">
        <v>26260</v>
      </c>
      <c r="Y28" s="80">
        <v>26680</v>
      </c>
      <c r="Z28" s="80">
        <v>26620</v>
      </c>
      <c r="AA28" s="80">
        <v>27190</v>
      </c>
      <c r="AB28" s="80">
        <v>28260</v>
      </c>
      <c r="AC28" s="80">
        <v>29260</v>
      </c>
      <c r="AD28" s="80">
        <v>29000</v>
      </c>
      <c r="AE28" s="80">
        <v>29720</v>
      </c>
      <c r="AF28" s="80">
        <v>29370</v>
      </c>
      <c r="AG28" s="80">
        <v>29000</v>
      </c>
      <c r="AH28" s="80">
        <v>28680</v>
      </c>
      <c r="AI28" s="80">
        <v>27940</v>
      </c>
      <c r="AJ28" s="80">
        <v>27890</v>
      </c>
      <c r="AK28" s="80">
        <v>27900</v>
      </c>
      <c r="AL28" s="80">
        <v>28280</v>
      </c>
      <c r="AM28" s="80">
        <v>28750</v>
      </c>
      <c r="AN28" s="80">
        <v>29170</v>
      </c>
      <c r="AO28" s="80">
        <v>29530</v>
      </c>
      <c r="AP28" s="80">
        <v>29810</v>
      </c>
      <c r="AQ28" s="80">
        <v>30000</v>
      </c>
      <c r="AR28" s="80">
        <v>30120</v>
      </c>
      <c r="AS28" s="80">
        <v>30180</v>
      </c>
      <c r="AT28" s="80">
        <v>30180</v>
      </c>
      <c r="AU28" s="80">
        <v>30140</v>
      </c>
      <c r="AV28" s="80">
        <v>30050</v>
      </c>
      <c r="AW28" s="80">
        <v>29930</v>
      </c>
      <c r="AX28" s="80">
        <v>29770</v>
      </c>
      <c r="AY28" s="80">
        <v>29590</v>
      </c>
      <c r="AZ28" s="80">
        <v>29410</v>
      </c>
      <c r="BA28" s="80">
        <v>29220</v>
      </c>
      <c r="BB28" s="80">
        <v>29050</v>
      </c>
      <c r="BC28" s="80">
        <v>28910</v>
      </c>
      <c r="BD28" s="80">
        <v>28800</v>
      </c>
    </row>
    <row r="29" spans="3:56" x14ac:dyDescent="0.2">
      <c r="C29" s="28">
        <v>34</v>
      </c>
      <c r="E29" s="80">
        <v>23260</v>
      </c>
      <c r="F29" s="80">
        <v>24030</v>
      </c>
      <c r="G29" s="80">
        <v>25090</v>
      </c>
      <c r="H29" s="80">
        <v>25660</v>
      </c>
      <c r="I29" s="80">
        <v>26650</v>
      </c>
      <c r="J29" s="80">
        <v>28330</v>
      </c>
      <c r="K29" s="80">
        <v>29090</v>
      </c>
      <c r="L29" s="80">
        <v>30770</v>
      </c>
      <c r="M29" s="80">
        <v>32010</v>
      </c>
      <c r="N29" s="80">
        <v>31640</v>
      </c>
      <c r="O29" s="80">
        <v>31580</v>
      </c>
      <c r="P29" s="80">
        <v>30780</v>
      </c>
      <c r="Q29" s="80">
        <v>30520</v>
      </c>
      <c r="R29" s="80">
        <v>29820</v>
      </c>
      <c r="S29" s="80">
        <v>29530</v>
      </c>
      <c r="T29" s="80">
        <v>28580</v>
      </c>
      <c r="U29" s="80">
        <v>27700</v>
      </c>
      <c r="V29" s="80">
        <v>28240</v>
      </c>
      <c r="W29" s="80">
        <v>27660</v>
      </c>
      <c r="X29" s="80">
        <v>26590</v>
      </c>
      <c r="Y29" s="80">
        <v>26340</v>
      </c>
      <c r="Z29" s="80">
        <v>26760</v>
      </c>
      <c r="AA29" s="80">
        <v>26690</v>
      </c>
      <c r="AB29" s="80">
        <v>27260</v>
      </c>
      <c r="AC29" s="80">
        <v>28320</v>
      </c>
      <c r="AD29" s="80">
        <v>29310</v>
      </c>
      <c r="AE29" s="80">
        <v>29040</v>
      </c>
      <c r="AF29" s="80">
        <v>29770</v>
      </c>
      <c r="AG29" s="80">
        <v>29410</v>
      </c>
      <c r="AH29" s="80">
        <v>29040</v>
      </c>
      <c r="AI29" s="80">
        <v>28720</v>
      </c>
      <c r="AJ29" s="80">
        <v>27980</v>
      </c>
      <c r="AK29" s="80">
        <v>27930</v>
      </c>
      <c r="AL29" s="80">
        <v>27930</v>
      </c>
      <c r="AM29" s="80">
        <v>28310</v>
      </c>
      <c r="AN29" s="80">
        <v>28780</v>
      </c>
      <c r="AO29" s="80">
        <v>29200</v>
      </c>
      <c r="AP29" s="80">
        <v>29550</v>
      </c>
      <c r="AQ29" s="80">
        <v>29830</v>
      </c>
      <c r="AR29" s="80">
        <v>30020</v>
      </c>
      <c r="AS29" s="80">
        <v>30140</v>
      </c>
      <c r="AT29" s="80">
        <v>30200</v>
      </c>
      <c r="AU29" s="80">
        <v>30200</v>
      </c>
      <c r="AV29" s="80">
        <v>30160</v>
      </c>
      <c r="AW29" s="80">
        <v>30070</v>
      </c>
      <c r="AX29" s="80">
        <v>29940</v>
      </c>
      <c r="AY29" s="80">
        <v>29790</v>
      </c>
      <c r="AZ29" s="80">
        <v>29620</v>
      </c>
      <c r="BA29" s="80">
        <v>29430</v>
      </c>
      <c r="BB29" s="80">
        <v>29250</v>
      </c>
      <c r="BC29" s="80">
        <v>29080</v>
      </c>
      <c r="BD29" s="80">
        <v>28930</v>
      </c>
    </row>
    <row r="30" spans="3:56" x14ac:dyDescent="0.2">
      <c r="C30" s="28">
        <v>35</v>
      </c>
      <c r="E30" s="80">
        <v>22980</v>
      </c>
      <c r="F30" s="80">
        <v>23770</v>
      </c>
      <c r="G30" s="80">
        <v>24480</v>
      </c>
      <c r="H30" s="80">
        <v>25490</v>
      </c>
      <c r="I30" s="80">
        <v>26000</v>
      </c>
      <c r="J30" s="80">
        <v>26930</v>
      </c>
      <c r="K30" s="80">
        <v>28610</v>
      </c>
      <c r="L30" s="80">
        <v>29350</v>
      </c>
      <c r="M30" s="80">
        <v>31020</v>
      </c>
      <c r="N30" s="80">
        <v>32250</v>
      </c>
      <c r="O30" s="80">
        <v>31860</v>
      </c>
      <c r="P30" s="80">
        <v>31790</v>
      </c>
      <c r="Q30" s="80">
        <v>30970</v>
      </c>
      <c r="R30" s="80">
        <v>30710</v>
      </c>
      <c r="S30" s="80">
        <v>29990</v>
      </c>
      <c r="T30" s="80">
        <v>29690</v>
      </c>
      <c r="U30" s="80">
        <v>28730</v>
      </c>
      <c r="V30" s="80">
        <v>27840</v>
      </c>
      <c r="W30" s="80">
        <v>28370</v>
      </c>
      <c r="X30" s="80">
        <v>27790</v>
      </c>
      <c r="Y30" s="80">
        <v>26710</v>
      </c>
      <c r="Z30" s="80">
        <v>26460</v>
      </c>
      <c r="AA30" s="80">
        <v>26870</v>
      </c>
      <c r="AB30" s="80">
        <v>26790</v>
      </c>
      <c r="AC30" s="80">
        <v>27360</v>
      </c>
      <c r="AD30" s="80">
        <v>28410</v>
      </c>
      <c r="AE30" s="80">
        <v>29400</v>
      </c>
      <c r="AF30" s="80">
        <v>29130</v>
      </c>
      <c r="AG30" s="80">
        <v>29850</v>
      </c>
      <c r="AH30" s="80">
        <v>29490</v>
      </c>
      <c r="AI30" s="80">
        <v>29120</v>
      </c>
      <c r="AJ30" s="80">
        <v>28800</v>
      </c>
      <c r="AK30" s="80">
        <v>28050</v>
      </c>
      <c r="AL30" s="80">
        <v>28000</v>
      </c>
      <c r="AM30" s="80">
        <v>28000</v>
      </c>
      <c r="AN30" s="80">
        <v>28380</v>
      </c>
      <c r="AO30" s="80">
        <v>28850</v>
      </c>
      <c r="AP30" s="80">
        <v>29260</v>
      </c>
      <c r="AQ30" s="80">
        <v>29610</v>
      </c>
      <c r="AR30" s="80">
        <v>29890</v>
      </c>
      <c r="AS30" s="80">
        <v>30080</v>
      </c>
      <c r="AT30" s="80">
        <v>30200</v>
      </c>
      <c r="AU30" s="80">
        <v>30260</v>
      </c>
      <c r="AV30" s="80">
        <v>30260</v>
      </c>
      <c r="AW30" s="80">
        <v>30220</v>
      </c>
      <c r="AX30" s="80">
        <v>30130</v>
      </c>
      <c r="AY30" s="80">
        <v>30000</v>
      </c>
      <c r="AZ30" s="80">
        <v>29850</v>
      </c>
      <c r="BA30" s="80">
        <v>29670</v>
      </c>
      <c r="BB30" s="80">
        <v>29490</v>
      </c>
      <c r="BC30" s="80">
        <v>29310</v>
      </c>
      <c r="BD30" s="80">
        <v>29140</v>
      </c>
    </row>
    <row r="31" spans="3:56" x14ac:dyDescent="0.2">
      <c r="C31" s="28">
        <v>36</v>
      </c>
      <c r="E31" s="80">
        <v>22550</v>
      </c>
      <c r="F31" s="80">
        <v>23520</v>
      </c>
      <c r="G31" s="80">
        <v>24260</v>
      </c>
      <c r="H31" s="80">
        <v>24920</v>
      </c>
      <c r="I31" s="80">
        <v>25880</v>
      </c>
      <c r="J31" s="80">
        <v>26330</v>
      </c>
      <c r="K31" s="80">
        <v>27260</v>
      </c>
      <c r="L31" s="80">
        <v>28930</v>
      </c>
      <c r="M31" s="80">
        <v>29670</v>
      </c>
      <c r="N31" s="80">
        <v>31340</v>
      </c>
      <c r="O31" s="80">
        <v>32560</v>
      </c>
      <c r="P31" s="80">
        <v>32150</v>
      </c>
      <c r="Q31" s="80">
        <v>32070</v>
      </c>
      <c r="R31" s="80">
        <v>31230</v>
      </c>
      <c r="S31" s="80">
        <v>30960</v>
      </c>
      <c r="T31" s="80">
        <v>30230</v>
      </c>
      <c r="U31" s="80">
        <v>29920</v>
      </c>
      <c r="V31" s="80">
        <v>28950</v>
      </c>
      <c r="W31" s="80">
        <v>28050</v>
      </c>
      <c r="X31" s="80">
        <v>28580</v>
      </c>
      <c r="Y31" s="80">
        <v>27990</v>
      </c>
      <c r="Z31" s="80">
        <v>26900</v>
      </c>
      <c r="AA31" s="80">
        <v>26640</v>
      </c>
      <c r="AB31" s="80">
        <v>27050</v>
      </c>
      <c r="AC31" s="80">
        <v>26970</v>
      </c>
      <c r="AD31" s="80">
        <v>27540</v>
      </c>
      <c r="AE31" s="80">
        <v>28580</v>
      </c>
      <c r="AF31" s="80">
        <v>29570</v>
      </c>
      <c r="AG31" s="80">
        <v>29300</v>
      </c>
      <c r="AH31" s="80">
        <v>30020</v>
      </c>
      <c r="AI31" s="80">
        <v>29650</v>
      </c>
      <c r="AJ31" s="80">
        <v>29280</v>
      </c>
      <c r="AK31" s="80">
        <v>28960</v>
      </c>
      <c r="AL31" s="80">
        <v>28210</v>
      </c>
      <c r="AM31" s="80">
        <v>28160</v>
      </c>
      <c r="AN31" s="80">
        <v>28160</v>
      </c>
      <c r="AO31" s="80">
        <v>28540</v>
      </c>
      <c r="AP31" s="80">
        <v>29000</v>
      </c>
      <c r="AQ31" s="80">
        <v>29410</v>
      </c>
      <c r="AR31" s="80">
        <v>29770</v>
      </c>
      <c r="AS31" s="80">
        <v>30050</v>
      </c>
      <c r="AT31" s="80">
        <v>30240</v>
      </c>
      <c r="AU31" s="80">
        <v>30350</v>
      </c>
      <c r="AV31" s="80">
        <v>30410</v>
      </c>
      <c r="AW31" s="80">
        <v>30410</v>
      </c>
      <c r="AX31" s="80">
        <v>30370</v>
      </c>
      <c r="AY31" s="80">
        <v>30280</v>
      </c>
      <c r="AZ31" s="80">
        <v>30160</v>
      </c>
      <c r="BA31" s="80">
        <v>30000</v>
      </c>
      <c r="BB31" s="80">
        <v>29830</v>
      </c>
      <c r="BC31" s="80">
        <v>29640</v>
      </c>
      <c r="BD31" s="80">
        <v>29460</v>
      </c>
    </row>
    <row r="32" spans="3:56" x14ac:dyDescent="0.2">
      <c r="C32" s="28">
        <v>37</v>
      </c>
      <c r="E32" s="80">
        <v>22640</v>
      </c>
      <c r="F32" s="80">
        <v>23130</v>
      </c>
      <c r="G32" s="80">
        <v>24050</v>
      </c>
      <c r="H32" s="80">
        <v>24750</v>
      </c>
      <c r="I32" s="80">
        <v>25370</v>
      </c>
      <c r="J32" s="80">
        <v>26290</v>
      </c>
      <c r="K32" s="80">
        <v>26730</v>
      </c>
      <c r="L32" s="80">
        <v>27660</v>
      </c>
      <c r="M32" s="80">
        <v>29340</v>
      </c>
      <c r="N32" s="80">
        <v>30070</v>
      </c>
      <c r="O32" s="80">
        <v>31740</v>
      </c>
      <c r="P32" s="80">
        <v>32960</v>
      </c>
      <c r="Q32" s="80">
        <v>32540</v>
      </c>
      <c r="R32" s="80">
        <v>32450</v>
      </c>
      <c r="S32" s="80">
        <v>31600</v>
      </c>
      <c r="T32" s="80">
        <v>31310</v>
      </c>
      <c r="U32" s="80">
        <v>30570</v>
      </c>
      <c r="V32" s="80">
        <v>30250</v>
      </c>
      <c r="W32" s="80">
        <v>29260</v>
      </c>
      <c r="X32" s="80">
        <v>28350</v>
      </c>
      <c r="Y32" s="80">
        <v>28880</v>
      </c>
      <c r="Z32" s="80">
        <v>28280</v>
      </c>
      <c r="AA32" s="80">
        <v>27180</v>
      </c>
      <c r="AB32" s="80">
        <v>26920</v>
      </c>
      <c r="AC32" s="80">
        <v>27330</v>
      </c>
      <c r="AD32" s="80">
        <v>27240</v>
      </c>
      <c r="AE32" s="80">
        <v>27810</v>
      </c>
      <c r="AF32" s="80">
        <v>28860</v>
      </c>
      <c r="AG32" s="80">
        <v>29850</v>
      </c>
      <c r="AH32" s="80">
        <v>29570</v>
      </c>
      <c r="AI32" s="80">
        <v>30290</v>
      </c>
      <c r="AJ32" s="80">
        <v>29920</v>
      </c>
      <c r="AK32" s="80">
        <v>29550</v>
      </c>
      <c r="AL32" s="80">
        <v>29220</v>
      </c>
      <c r="AM32" s="80">
        <v>28470</v>
      </c>
      <c r="AN32" s="80">
        <v>28420</v>
      </c>
      <c r="AO32" s="80">
        <v>28420</v>
      </c>
      <c r="AP32" s="80">
        <v>28800</v>
      </c>
      <c r="AQ32" s="80">
        <v>29260</v>
      </c>
      <c r="AR32" s="80">
        <v>29680</v>
      </c>
      <c r="AS32" s="80">
        <v>30030</v>
      </c>
      <c r="AT32" s="80">
        <v>30310</v>
      </c>
      <c r="AU32" s="80">
        <v>30500</v>
      </c>
      <c r="AV32" s="80">
        <v>30620</v>
      </c>
      <c r="AW32" s="80">
        <v>30680</v>
      </c>
      <c r="AX32" s="80">
        <v>30680</v>
      </c>
      <c r="AY32" s="80">
        <v>30630</v>
      </c>
      <c r="AZ32" s="80">
        <v>30550</v>
      </c>
      <c r="BA32" s="80">
        <v>30420</v>
      </c>
      <c r="BB32" s="80">
        <v>30270</v>
      </c>
      <c r="BC32" s="80">
        <v>30090</v>
      </c>
      <c r="BD32" s="80">
        <v>29910</v>
      </c>
    </row>
    <row r="33" spans="3:56" x14ac:dyDescent="0.2">
      <c r="C33" s="28">
        <v>38</v>
      </c>
      <c r="E33" s="80">
        <v>22950</v>
      </c>
      <c r="F33" s="80">
        <v>23250</v>
      </c>
      <c r="G33" s="80">
        <v>23690</v>
      </c>
      <c r="H33" s="80">
        <v>24580</v>
      </c>
      <c r="I33" s="80">
        <v>25240</v>
      </c>
      <c r="J33" s="80">
        <v>25810</v>
      </c>
      <c r="K33" s="80">
        <v>26730</v>
      </c>
      <c r="L33" s="80">
        <v>27170</v>
      </c>
      <c r="M33" s="80">
        <v>28090</v>
      </c>
      <c r="N33" s="80">
        <v>29780</v>
      </c>
      <c r="O33" s="80">
        <v>30510</v>
      </c>
      <c r="P33" s="80">
        <v>32190</v>
      </c>
      <c r="Q33" s="80">
        <v>33410</v>
      </c>
      <c r="R33" s="80">
        <v>32980</v>
      </c>
      <c r="S33" s="80">
        <v>32880</v>
      </c>
      <c r="T33" s="80">
        <v>32000</v>
      </c>
      <c r="U33" s="80">
        <v>31710</v>
      </c>
      <c r="V33" s="80">
        <v>30950</v>
      </c>
      <c r="W33" s="80">
        <v>30620</v>
      </c>
      <c r="X33" s="80">
        <v>29620</v>
      </c>
      <c r="Y33" s="80">
        <v>28700</v>
      </c>
      <c r="Z33" s="80">
        <v>29220</v>
      </c>
      <c r="AA33" s="80">
        <v>28620</v>
      </c>
      <c r="AB33" s="80">
        <v>27510</v>
      </c>
      <c r="AC33" s="80">
        <v>27240</v>
      </c>
      <c r="AD33" s="80">
        <v>27650</v>
      </c>
      <c r="AE33" s="80">
        <v>27560</v>
      </c>
      <c r="AF33" s="80">
        <v>28120</v>
      </c>
      <c r="AG33" s="80">
        <v>29180</v>
      </c>
      <c r="AH33" s="80">
        <v>30180</v>
      </c>
      <c r="AI33" s="80">
        <v>29900</v>
      </c>
      <c r="AJ33" s="80">
        <v>30620</v>
      </c>
      <c r="AK33" s="80">
        <v>30250</v>
      </c>
      <c r="AL33" s="80">
        <v>29870</v>
      </c>
      <c r="AM33" s="80">
        <v>29540</v>
      </c>
      <c r="AN33" s="80">
        <v>28780</v>
      </c>
      <c r="AO33" s="80">
        <v>28730</v>
      </c>
      <c r="AP33" s="80">
        <v>28720</v>
      </c>
      <c r="AQ33" s="80">
        <v>29100</v>
      </c>
      <c r="AR33" s="80">
        <v>29570</v>
      </c>
      <c r="AS33" s="80">
        <v>29990</v>
      </c>
      <c r="AT33" s="80">
        <v>30350</v>
      </c>
      <c r="AU33" s="80">
        <v>30630</v>
      </c>
      <c r="AV33" s="80">
        <v>30820</v>
      </c>
      <c r="AW33" s="80">
        <v>30940</v>
      </c>
      <c r="AX33" s="80">
        <v>31000</v>
      </c>
      <c r="AY33" s="80">
        <v>31000</v>
      </c>
      <c r="AZ33" s="80">
        <v>30950</v>
      </c>
      <c r="BA33" s="80">
        <v>30870</v>
      </c>
      <c r="BB33" s="80">
        <v>30740</v>
      </c>
      <c r="BC33" s="80">
        <v>30580</v>
      </c>
      <c r="BD33" s="80">
        <v>30410</v>
      </c>
    </row>
    <row r="34" spans="3:56" x14ac:dyDescent="0.2">
      <c r="C34" s="28">
        <v>39</v>
      </c>
      <c r="E34" s="80">
        <v>22490</v>
      </c>
      <c r="F34" s="80">
        <v>23510</v>
      </c>
      <c r="G34" s="80">
        <v>23770</v>
      </c>
      <c r="H34" s="80">
        <v>24170</v>
      </c>
      <c r="I34" s="80">
        <v>25030</v>
      </c>
      <c r="J34" s="80">
        <v>25650</v>
      </c>
      <c r="K34" s="80">
        <v>26220</v>
      </c>
      <c r="L34" s="80">
        <v>27140</v>
      </c>
      <c r="M34" s="80">
        <v>27570</v>
      </c>
      <c r="N34" s="80">
        <v>28500</v>
      </c>
      <c r="O34" s="80">
        <v>30190</v>
      </c>
      <c r="P34" s="80">
        <v>30920</v>
      </c>
      <c r="Q34" s="80">
        <v>32610</v>
      </c>
      <c r="R34" s="80">
        <v>33840</v>
      </c>
      <c r="S34" s="80">
        <v>33390</v>
      </c>
      <c r="T34" s="80">
        <v>33280</v>
      </c>
      <c r="U34" s="80">
        <v>32390</v>
      </c>
      <c r="V34" s="80">
        <v>32080</v>
      </c>
      <c r="W34" s="80">
        <v>31310</v>
      </c>
      <c r="X34" s="80">
        <v>30980</v>
      </c>
      <c r="Y34" s="80">
        <v>29960</v>
      </c>
      <c r="Z34" s="80">
        <v>29030</v>
      </c>
      <c r="AA34" s="80">
        <v>29550</v>
      </c>
      <c r="AB34" s="80">
        <v>28940</v>
      </c>
      <c r="AC34" s="80">
        <v>27810</v>
      </c>
      <c r="AD34" s="80">
        <v>27540</v>
      </c>
      <c r="AE34" s="80">
        <v>27950</v>
      </c>
      <c r="AF34" s="80">
        <v>27860</v>
      </c>
      <c r="AG34" s="80">
        <v>28430</v>
      </c>
      <c r="AH34" s="80">
        <v>29490</v>
      </c>
      <c r="AI34" s="80">
        <v>30490</v>
      </c>
      <c r="AJ34" s="80">
        <v>30210</v>
      </c>
      <c r="AK34" s="80">
        <v>30930</v>
      </c>
      <c r="AL34" s="80">
        <v>30560</v>
      </c>
      <c r="AM34" s="80">
        <v>30170</v>
      </c>
      <c r="AN34" s="80">
        <v>29840</v>
      </c>
      <c r="AO34" s="80">
        <v>29080</v>
      </c>
      <c r="AP34" s="80">
        <v>29020</v>
      </c>
      <c r="AQ34" s="80">
        <v>29020</v>
      </c>
      <c r="AR34" s="80">
        <v>29400</v>
      </c>
      <c r="AS34" s="80">
        <v>29870</v>
      </c>
      <c r="AT34" s="80">
        <v>30290</v>
      </c>
      <c r="AU34" s="80">
        <v>30650</v>
      </c>
      <c r="AV34" s="80">
        <v>30940</v>
      </c>
      <c r="AW34" s="80">
        <v>31130</v>
      </c>
      <c r="AX34" s="80">
        <v>31250</v>
      </c>
      <c r="AY34" s="80">
        <v>31310</v>
      </c>
      <c r="AZ34" s="80">
        <v>31310</v>
      </c>
      <c r="BA34" s="80">
        <v>31260</v>
      </c>
      <c r="BB34" s="80">
        <v>31170</v>
      </c>
      <c r="BC34" s="80">
        <v>31050</v>
      </c>
      <c r="BD34" s="80">
        <v>30890</v>
      </c>
    </row>
    <row r="35" spans="3:56" x14ac:dyDescent="0.2">
      <c r="C35" s="28">
        <v>40</v>
      </c>
      <c r="E35" s="80">
        <v>23160</v>
      </c>
      <c r="F35" s="80">
        <v>23030</v>
      </c>
      <c r="G35" s="80">
        <v>24030</v>
      </c>
      <c r="H35" s="80">
        <v>24240</v>
      </c>
      <c r="I35" s="80">
        <v>24610</v>
      </c>
      <c r="J35" s="80">
        <v>25440</v>
      </c>
      <c r="K35" s="80">
        <v>26060</v>
      </c>
      <c r="L35" s="80">
        <v>26630</v>
      </c>
      <c r="M35" s="80">
        <v>27550</v>
      </c>
      <c r="N35" s="80">
        <v>27980</v>
      </c>
      <c r="O35" s="80">
        <v>28910</v>
      </c>
      <c r="P35" s="80">
        <v>30610</v>
      </c>
      <c r="Q35" s="80">
        <v>31340</v>
      </c>
      <c r="R35" s="80">
        <v>33040</v>
      </c>
      <c r="S35" s="80">
        <v>34270</v>
      </c>
      <c r="T35" s="80">
        <v>33810</v>
      </c>
      <c r="U35" s="80">
        <v>33700</v>
      </c>
      <c r="V35" s="80">
        <v>32790</v>
      </c>
      <c r="W35" s="80">
        <v>32480</v>
      </c>
      <c r="X35" s="80">
        <v>31700</v>
      </c>
      <c r="Y35" s="80">
        <v>31350</v>
      </c>
      <c r="Z35" s="80">
        <v>30330</v>
      </c>
      <c r="AA35" s="80">
        <v>29380</v>
      </c>
      <c r="AB35" s="80">
        <v>29900</v>
      </c>
      <c r="AC35" s="80">
        <v>29280</v>
      </c>
      <c r="AD35" s="80">
        <v>28140</v>
      </c>
      <c r="AE35" s="80">
        <v>27870</v>
      </c>
      <c r="AF35" s="80">
        <v>28280</v>
      </c>
      <c r="AG35" s="80">
        <v>28180</v>
      </c>
      <c r="AH35" s="80">
        <v>28760</v>
      </c>
      <c r="AI35" s="80">
        <v>29830</v>
      </c>
      <c r="AJ35" s="80">
        <v>30830</v>
      </c>
      <c r="AK35" s="80">
        <v>30550</v>
      </c>
      <c r="AL35" s="80">
        <v>31280</v>
      </c>
      <c r="AM35" s="80">
        <v>30900</v>
      </c>
      <c r="AN35" s="80">
        <v>30510</v>
      </c>
      <c r="AO35" s="80">
        <v>30170</v>
      </c>
      <c r="AP35" s="80">
        <v>29400</v>
      </c>
      <c r="AQ35" s="80">
        <v>29350</v>
      </c>
      <c r="AR35" s="80">
        <v>29340</v>
      </c>
      <c r="AS35" s="80">
        <v>29730</v>
      </c>
      <c r="AT35" s="80">
        <v>30200</v>
      </c>
      <c r="AU35" s="80">
        <v>30630</v>
      </c>
      <c r="AV35" s="80">
        <v>30990</v>
      </c>
      <c r="AW35" s="80">
        <v>31280</v>
      </c>
      <c r="AX35" s="80">
        <v>31470</v>
      </c>
      <c r="AY35" s="80">
        <v>31590</v>
      </c>
      <c r="AZ35" s="80">
        <v>31650</v>
      </c>
      <c r="BA35" s="80">
        <v>31650</v>
      </c>
      <c r="BB35" s="80">
        <v>31610</v>
      </c>
      <c r="BC35" s="80">
        <v>31520</v>
      </c>
      <c r="BD35" s="80">
        <v>31390</v>
      </c>
    </row>
    <row r="36" spans="3:56" x14ac:dyDescent="0.2">
      <c r="C36" s="28">
        <v>41</v>
      </c>
      <c r="E36" s="80">
        <v>23400</v>
      </c>
      <c r="F36" s="80">
        <v>23700</v>
      </c>
      <c r="G36" s="80">
        <v>23540</v>
      </c>
      <c r="H36" s="80">
        <v>24510</v>
      </c>
      <c r="I36" s="80">
        <v>24700</v>
      </c>
      <c r="J36" s="80">
        <v>25030</v>
      </c>
      <c r="K36" s="80">
        <v>25860</v>
      </c>
      <c r="L36" s="80">
        <v>26480</v>
      </c>
      <c r="M36" s="80">
        <v>27050</v>
      </c>
      <c r="N36" s="80">
        <v>27980</v>
      </c>
      <c r="O36" s="80">
        <v>28410</v>
      </c>
      <c r="P36" s="80">
        <v>29340</v>
      </c>
      <c r="Q36" s="80">
        <v>31070</v>
      </c>
      <c r="R36" s="80">
        <v>31800</v>
      </c>
      <c r="S36" s="80">
        <v>33510</v>
      </c>
      <c r="T36" s="80">
        <v>34750</v>
      </c>
      <c r="U36" s="80">
        <v>34280</v>
      </c>
      <c r="V36" s="80">
        <v>34160</v>
      </c>
      <c r="W36" s="80">
        <v>33240</v>
      </c>
      <c r="X36" s="80">
        <v>32920</v>
      </c>
      <c r="Y36" s="80">
        <v>32130</v>
      </c>
      <c r="Z36" s="80">
        <v>31770</v>
      </c>
      <c r="AA36" s="80">
        <v>30730</v>
      </c>
      <c r="AB36" s="80">
        <v>29770</v>
      </c>
      <c r="AC36" s="80">
        <v>30300</v>
      </c>
      <c r="AD36" s="80">
        <v>29670</v>
      </c>
      <c r="AE36" s="80">
        <v>28520</v>
      </c>
      <c r="AF36" s="80">
        <v>28230</v>
      </c>
      <c r="AG36" s="80">
        <v>28650</v>
      </c>
      <c r="AH36" s="80">
        <v>28550</v>
      </c>
      <c r="AI36" s="80">
        <v>29130</v>
      </c>
      <c r="AJ36" s="80">
        <v>30210</v>
      </c>
      <c r="AK36" s="80">
        <v>31230</v>
      </c>
      <c r="AL36" s="80">
        <v>30940</v>
      </c>
      <c r="AM36" s="80">
        <v>31680</v>
      </c>
      <c r="AN36" s="80">
        <v>31290</v>
      </c>
      <c r="AO36" s="80">
        <v>30900</v>
      </c>
      <c r="AP36" s="80">
        <v>30560</v>
      </c>
      <c r="AQ36" s="80">
        <v>29780</v>
      </c>
      <c r="AR36" s="80">
        <v>29720</v>
      </c>
      <c r="AS36" s="80">
        <v>29720</v>
      </c>
      <c r="AT36" s="80">
        <v>30110</v>
      </c>
      <c r="AU36" s="80">
        <v>30590</v>
      </c>
      <c r="AV36" s="80">
        <v>31020</v>
      </c>
      <c r="AW36" s="80">
        <v>31390</v>
      </c>
      <c r="AX36" s="80">
        <v>31670</v>
      </c>
      <c r="AY36" s="80">
        <v>31870</v>
      </c>
      <c r="AZ36" s="80">
        <v>31990</v>
      </c>
      <c r="BA36" s="80">
        <v>32050</v>
      </c>
      <c r="BB36" s="80">
        <v>32060</v>
      </c>
      <c r="BC36" s="80">
        <v>32010</v>
      </c>
      <c r="BD36" s="80">
        <v>31920</v>
      </c>
    </row>
    <row r="37" spans="3:56" x14ac:dyDescent="0.2">
      <c r="C37" s="28">
        <v>42</v>
      </c>
      <c r="E37" s="80">
        <v>24880</v>
      </c>
      <c r="F37" s="80">
        <v>23890</v>
      </c>
      <c r="G37" s="80">
        <v>24160</v>
      </c>
      <c r="H37" s="80">
        <v>23960</v>
      </c>
      <c r="I37" s="80">
        <v>24910</v>
      </c>
      <c r="J37" s="80">
        <v>25060</v>
      </c>
      <c r="K37" s="80">
        <v>25390</v>
      </c>
      <c r="L37" s="80">
        <v>26230</v>
      </c>
      <c r="M37" s="80">
        <v>26850</v>
      </c>
      <c r="N37" s="80">
        <v>27430</v>
      </c>
      <c r="O37" s="80">
        <v>28360</v>
      </c>
      <c r="P37" s="80">
        <v>28790</v>
      </c>
      <c r="Q37" s="80">
        <v>29730</v>
      </c>
      <c r="R37" s="80">
        <v>31460</v>
      </c>
      <c r="S37" s="80">
        <v>32200</v>
      </c>
      <c r="T37" s="80">
        <v>33930</v>
      </c>
      <c r="U37" s="80">
        <v>35180</v>
      </c>
      <c r="V37" s="80">
        <v>34700</v>
      </c>
      <c r="W37" s="80">
        <v>34570</v>
      </c>
      <c r="X37" s="80">
        <v>33640</v>
      </c>
      <c r="Y37" s="80">
        <v>33310</v>
      </c>
      <c r="Z37" s="80">
        <v>32510</v>
      </c>
      <c r="AA37" s="80">
        <v>32150</v>
      </c>
      <c r="AB37" s="80">
        <v>31090</v>
      </c>
      <c r="AC37" s="80">
        <v>30120</v>
      </c>
      <c r="AD37" s="80">
        <v>30650</v>
      </c>
      <c r="AE37" s="80">
        <v>30010</v>
      </c>
      <c r="AF37" s="80">
        <v>28850</v>
      </c>
      <c r="AG37" s="80">
        <v>28560</v>
      </c>
      <c r="AH37" s="80">
        <v>28980</v>
      </c>
      <c r="AI37" s="80">
        <v>28880</v>
      </c>
      <c r="AJ37" s="80">
        <v>29460</v>
      </c>
      <c r="AK37" s="80">
        <v>30560</v>
      </c>
      <c r="AL37" s="80">
        <v>31580</v>
      </c>
      <c r="AM37" s="80">
        <v>31290</v>
      </c>
      <c r="AN37" s="80">
        <v>32030</v>
      </c>
      <c r="AO37" s="80">
        <v>31640</v>
      </c>
      <c r="AP37" s="80">
        <v>31240</v>
      </c>
      <c r="AQ37" s="80">
        <v>30900</v>
      </c>
      <c r="AR37" s="80">
        <v>30120</v>
      </c>
      <c r="AS37" s="80">
        <v>30060</v>
      </c>
      <c r="AT37" s="80">
        <v>30050</v>
      </c>
      <c r="AU37" s="80">
        <v>30450</v>
      </c>
      <c r="AV37" s="80">
        <v>30930</v>
      </c>
      <c r="AW37" s="80">
        <v>31370</v>
      </c>
      <c r="AX37" s="80">
        <v>31740</v>
      </c>
      <c r="AY37" s="80">
        <v>32030</v>
      </c>
      <c r="AZ37" s="80">
        <v>32230</v>
      </c>
      <c r="BA37" s="80">
        <v>32350</v>
      </c>
      <c r="BB37" s="80">
        <v>32410</v>
      </c>
      <c r="BC37" s="80">
        <v>32410</v>
      </c>
      <c r="BD37" s="80">
        <v>32370</v>
      </c>
    </row>
    <row r="38" spans="3:56" x14ac:dyDescent="0.2">
      <c r="C38" s="28">
        <v>43</v>
      </c>
      <c r="E38" s="80">
        <v>26130</v>
      </c>
      <c r="F38" s="80">
        <v>25320</v>
      </c>
      <c r="G38" s="80">
        <v>24290</v>
      </c>
      <c r="H38" s="80">
        <v>24530</v>
      </c>
      <c r="I38" s="80">
        <v>24300</v>
      </c>
      <c r="J38" s="80">
        <v>25230</v>
      </c>
      <c r="K38" s="80">
        <v>25390</v>
      </c>
      <c r="L38" s="80">
        <v>25720</v>
      </c>
      <c r="M38" s="80">
        <v>26560</v>
      </c>
      <c r="N38" s="80">
        <v>27190</v>
      </c>
      <c r="O38" s="80">
        <v>27760</v>
      </c>
      <c r="P38" s="80">
        <v>28700</v>
      </c>
      <c r="Q38" s="80">
        <v>29130</v>
      </c>
      <c r="R38" s="80">
        <v>30080</v>
      </c>
      <c r="S38" s="80">
        <v>31830</v>
      </c>
      <c r="T38" s="80">
        <v>32570</v>
      </c>
      <c r="U38" s="80">
        <v>34320</v>
      </c>
      <c r="V38" s="80">
        <v>35580</v>
      </c>
      <c r="W38" s="80">
        <v>35090</v>
      </c>
      <c r="X38" s="80">
        <v>34960</v>
      </c>
      <c r="Y38" s="80">
        <v>34020</v>
      </c>
      <c r="Z38" s="80">
        <v>33680</v>
      </c>
      <c r="AA38" s="80">
        <v>32870</v>
      </c>
      <c r="AB38" s="80">
        <v>32510</v>
      </c>
      <c r="AC38" s="80">
        <v>31440</v>
      </c>
      <c r="AD38" s="80">
        <v>30460</v>
      </c>
      <c r="AE38" s="80">
        <v>31000</v>
      </c>
      <c r="AF38" s="80">
        <v>30350</v>
      </c>
      <c r="AG38" s="80">
        <v>29170</v>
      </c>
      <c r="AH38" s="80">
        <v>28880</v>
      </c>
      <c r="AI38" s="80">
        <v>29300</v>
      </c>
      <c r="AJ38" s="80">
        <v>29200</v>
      </c>
      <c r="AK38" s="80">
        <v>29790</v>
      </c>
      <c r="AL38" s="80">
        <v>30890</v>
      </c>
      <c r="AM38" s="80">
        <v>31920</v>
      </c>
      <c r="AN38" s="80">
        <v>31630</v>
      </c>
      <c r="AO38" s="80">
        <v>32380</v>
      </c>
      <c r="AP38" s="80">
        <v>31990</v>
      </c>
      <c r="AQ38" s="80">
        <v>31590</v>
      </c>
      <c r="AR38" s="80">
        <v>31240</v>
      </c>
      <c r="AS38" s="80">
        <v>30450</v>
      </c>
      <c r="AT38" s="80">
        <v>30390</v>
      </c>
      <c r="AU38" s="80">
        <v>30380</v>
      </c>
      <c r="AV38" s="80">
        <v>30780</v>
      </c>
      <c r="AW38" s="80">
        <v>31270</v>
      </c>
      <c r="AX38" s="80">
        <v>31710</v>
      </c>
      <c r="AY38" s="80">
        <v>32080</v>
      </c>
      <c r="AZ38" s="80">
        <v>32380</v>
      </c>
      <c r="BA38" s="80">
        <v>32580</v>
      </c>
      <c r="BB38" s="80">
        <v>32700</v>
      </c>
      <c r="BC38" s="80">
        <v>32760</v>
      </c>
      <c r="BD38" s="80">
        <v>32770</v>
      </c>
    </row>
    <row r="39" spans="3:56" x14ac:dyDescent="0.2">
      <c r="C39" s="28">
        <v>44</v>
      </c>
      <c r="E39" s="80">
        <v>27300</v>
      </c>
      <c r="F39" s="80">
        <v>26560</v>
      </c>
      <c r="G39" s="80">
        <v>25710</v>
      </c>
      <c r="H39" s="80">
        <v>24650</v>
      </c>
      <c r="I39" s="80">
        <v>24870</v>
      </c>
      <c r="J39" s="80">
        <v>24610</v>
      </c>
      <c r="K39" s="80">
        <v>25560</v>
      </c>
      <c r="L39" s="80">
        <v>25710</v>
      </c>
      <c r="M39" s="80">
        <v>26050</v>
      </c>
      <c r="N39" s="80">
        <v>26900</v>
      </c>
      <c r="O39" s="80">
        <v>27530</v>
      </c>
      <c r="P39" s="80">
        <v>28120</v>
      </c>
      <c r="Q39" s="80">
        <v>29070</v>
      </c>
      <c r="R39" s="80">
        <v>29500</v>
      </c>
      <c r="S39" s="80">
        <v>30460</v>
      </c>
      <c r="T39" s="80">
        <v>32230</v>
      </c>
      <c r="U39" s="80">
        <v>32980</v>
      </c>
      <c r="V39" s="80">
        <v>34740</v>
      </c>
      <c r="W39" s="80">
        <v>36020</v>
      </c>
      <c r="X39" s="80">
        <v>35520</v>
      </c>
      <c r="Y39" s="80">
        <v>35390</v>
      </c>
      <c r="Z39" s="80">
        <v>34440</v>
      </c>
      <c r="AA39" s="80">
        <v>34100</v>
      </c>
      <c r="AB39" s="80">
        <v>33280</v>
      </c>
      <c r="AC39" s="80">
        <v>32910</v>
      </c>
      <c r="AD39" s="80">
        <v>31830</v>
      </c>
      <c r="AE39" s="80">
        <v>30840</v>
      </c>
      <c r="AF39" s="80">
        <v>31380</v>
      </c>
      <c r="AG39" s="80">
        <v>30720</v>
      </c>
      <c r="AH39" s="80">
        <v>29540</v>
      </c>
      <c r="AI39" s="80">
        <v>29240</v>
      </c>
      <c r="AJ39" s="80">
        <v>29670</v>
      </c>
      <c r="AK39" s="80">
        <v>29570</v>
      </c>
      <c r="AL39" s="80">
        <v>30160</v>
      </c>
      <c r="AM39" s="80">
        <v>31270</v>
      </c>
      <c r="AN39" s="80">
        <v>32320</v>
      </c>
      <c r="AO39" s="80">
        <v>32020</v>
      </c>
      <c r="AP39" s="80">
        <v>32780</v>
      </c>
      <c r="AQ39" s="80">
        <v>32380</v>
      </c>
      <c r="AR39" s="80">
        <v>31970</v>
      </c>
      <c r="AS39" s="80">
        <v>31620</v>
      </c>
      <c r="AT39" s="80">
        <v>30820</v>
      </c>
      <c r="AU39" s="80">
        <v>30760</v>
      </c>
      <c r="AV39" s="80">
        <v>30760</v>
      </c>
      <c r="AW39" s="80">
        <v>31160</v>
      </c>
      <c r="AX39" s="80">
        <v>31660</v>
      </c>
      <c r="AY39" s="80">
        <v>32100</v>
      </c>
      <c r="AZ39" s="80">
        <v>32480</v>
      </c>
      <c r="BA39" s="80">
        <v>32780</v>
      </c>
      <c r="BB39" s="80">
        <v>32980</v>
      </c>
      <c r="BC39" s="80">
        <v>33100</v>
      </c>
      <c r="BD39" s="80">
        <v>33170</v>
      </c>
    </row>
    <row r="40" spans="3:56" x14ac:dyDescent="0.2">
      <c r="C40" s="28">
        <v>45</v>
      </c>
      <c r="E40" s="80">
        <v>28350</v>
      </c>
      <c r="F40" s="80">
        <v>27690</v>
      </c>
      <c r="G40" s="80">
        <v>26920</v>
      </c>
      <c r="H40" s="80">
        <v>26050</v>
      </c>
      <c r="I40" s="80">
        <v>24950</v>
      </c>
      <c r="J40" s="80">
        <v>25150</v>
      </c>
      <c r="K40" s="80">
        <v>24890</v>
      </c>
      <c r="L40" s="80">
        <v>25850</v>
      </c>
      <c r="M40" s="80">
        <v>26010</v>
      </c>
      <c r="N40" s="80">
        <v>26350</v>
      </c>
      <c r="O40" s="80">
        <v>27210</v>
      </c>
      <c r="P40" s="80">
        <v>27850</v>
      </c>
      <c r="Q40" s="80">
        <v>28440</v>
      </c>
      <c r="R40" s="80">
        <v>29400</v>
      </c>
      <c r="S40" s="80">
        <v>29840</v>
      </c>
      <c r="T40" s="80">
        <v>30810</v>
      </c>
      <c r="U40" s="80">
        <v>32600</v>
      </c>
      <c r="V40" s="80">
        <v>33360</v>
      </c>
      <c r="W40" s="80">
        <v>35140</v>
      </c>
      <c r="X40" s="80">
        <v>36430</v>
      </c>
      <c r="Y40" s="80">
        <v>35930</v>
      </c>
      <c r="Z40" s="80">
        <v>35800</v>
      </c>
      <c r="AA40" s="80">
        <v>34840</v>
      </c>
      <c r="AB40" s="80">
        <v>34490</v>
      </c>
      <c r="AC40" s="80">
        <v>33660</v>
      </c>
      <c r="AD40" s="80">
        <v>33290</v>
      </c>
      <c r="AE40" s="80">
        <v>32200</v>
      </c>
      <c r="AF40" s="80">
        <v>31190</v>
      </c>
      <c r="AG40" s="80">
        <v>31740</v>
      </c>
      <c r="AH40" s="80">
        <v>31080</v>
      </c>
      <c r="AI40" s="80">
        <v>29880</v>
      </c>
      <c r="AJ40" s="80">
        <v>29580</v>
      </c>
      <c r="AK40" s="80">
        <v>30010</v>
      </c>
      <c r="AL40" s="80">
        <v>29910</v>
      </c>
      <c r="AM40" s="80">
        <v>30510</v>
      </c>
      <c r="AN40" s="80">
        <v>31630</v>
      </c>
      <c r="AO40" s="80">
        <v>32690</v>
      </c>
      <c r="AP40" s="80">
        <v>32390</v>
      </c>
      <c r="AQ40" s="80">
        <v>33160</v>
      </c>
      <c r="AR40" s="80">
        <v>32750</v>
      </c>
      <c r="AS40" s="80">
        <v>32340</v>
      </c>
      <c r="AT40" s="80">
        <v>31990</v>
      </c>
      <c r="AU40" s="80">
        <v>31180</v>
      </c>
      <c r="AV40" s="80">
        <v>31120</v>
      </c>
      <c r="AW40" s="80">
        <v>31110</v>
      </c>
      <c r="AX40" s="80">
        <v>31520</v>
      </c>
      <c r="AY40" s="80">
        <v>32020</v>
      </c>
      <c r="AZ40" s="80">
        <v>32470</v>
      </c>
      <c r="BA40" s="80">
        <v>32850</v>
      </c>
      <c r="BB40" s="80">
        <v>33160</v>
      </c>
      <c r="BC40" s="80">
        <v>33360</v>
      </c>
      <c r="BD40" s="80">
        <v>33490</v>
      </c>
    </row>
    <row r="41" spans="3:56" x14ac:dyDescent="0.2">
      <c r="C41" s="28">
        <v>46</v>
      </c>
      <c r="E41" s="80">
        <v>29160</v>
      </c>
      <c r="F41" s="80">
        <v>28680</v>
      </c>
      <c r="G41" s="80">
        <v>27990</v>
      </c>
      <c r="H41" s="80">
        <v>27200</v>
      </c>
      <c r="I41" s="80">
        <v>26290</v>
      </c>
      <c r="J41" s="80">
        <v>25170</v>
      </c>
      <c r="K41" s="80">
        <v>25380</v>
      </c>
      <c r="L41" s="80">
        <v>25110</v>
      </c>
      <c r="M41" s="80">
        <v>26080</v>
      </c>
      <c r="N41" s="80">
        <v>26240</v>
      </c>
      <c r="O41" s="80">
        <v>26580</v>
      </c>
      <c r="P41" s="80">
        <v>27450</v>
      </c>
      <c r="Q41" s="80">
        <v>28100</v>
      </c>
      <c r="R41" s="80">
        <v>28700</v>
      </c>
      <c r="S41" s="80">
        <v>29660</v>
      </c>
      <c r="T41" s="80">
        <v>30110</v>
      </c>
      <c r="U41" s="80">
        <v>31090</v>
      </c>
      <c r="V41" s="80">
        <v>32890</v>
      </c>
      <c r="W41" s="80">
        <v>33660</v>
      </c>
      <c r="X41" s="80">
        <v>35450</v>
      </c>
      <c r="Y41" s="80">
        <v>36750</v>
      </c>
      <c r="Z41" s="80">
        <v>36250</v>
      </c>
      <c r="AA41" s="80">
        <v>36110</v>
      </c>
      <c r="AB41" s="80">
        <v>35140</v>
      </c>
      <c r="AC41" s="80">
        <v>34800</v>
      </c>
      <c r="AD41" s="80">
        <v>33960</v>
      </c>
      <c r="AE41" s="80">
        <v>33580</v>
      </c>
      <c r="AF41" s="80">
        <v>32480</v>
      </c>
      <c r="AG41" s="80">
        <v>31470</v>
      </c>
      <c r="AH41" s="80">
        <v>32020</v>
      </c>
      <c r="AI41" s="80">
        <v>31360</v>
      </c>
      <c r="AJ41" s="80">
        <v>30140</v>
      </c>
      <c r="AK41" s="80">
        <v>29840</v>
      </c>
      <c r="AL41" s="80">
        <v>30280</v>
      </c>
      <c r="AM41" s="80">
        <v>30170</v>
      </c>
      <c r="AN41" s="80">
        <v>30780</v>
      </c>
      <c r="AO41" s="80">
        <v>31910</v>
      </c>
      <c r="AP41" s="80">
        <v>32980</v>
      </c>
      <c r="AQ41" s="80">
        <v>32670</v>
      </c>
      <c r="AR41" s="80">
        <v>33450</v>
      </c>
      <c r="AS41" s="80">
        <v>33040</v>
      </c>
      <c r="AT41" s="80">
        <v>32630</v>
      </c>
      <c r="AU41" s="80">
        <v>32270</v>
      </c>
      <c r="AV41" s="80">
        <v>31450</v>
      </c>
      <c r="AW41" s="80">
        <v>31390</v>
      </c>
      <c r="AX41" s="80">
        <v>31390</v>
      </c>
      <c r="AY41" s="80">
        <v>31800</v>
      </c>
      <c r="AZ41" s="80">
        <v>32310</v>
      </c>
      <c r="BA41" s="80">
        <v>32760</v>
      </c>
      <c r="BB41" s="80">
        <v>33150</v>
      </c>
      <c r="BC41" s="80">
        <v>33450</v>
      </c>
      <c r="BD41" s="80">
        <v>33660</v>
      </c>
    </row>
    <row r="42" spans="3:56" x14ac:dyDescent="0.2">
      <c r="C42" s="28">
        <v>47</v>
      </c>
      <c r="E42" s="80">
        <v>28100</v>
      </c>
      <c r="F42" s="80">
        <v>29410</v>
      </c>
      <c r="G42" s="80">
        <v>28900</v>
      </c>
      <c r="H42" s="80">
        <v>28190</v>
      </c>
      <c r="I42" s="80">
        <v>27370</v>
      </c>
      <c r="J42" s="80">
        <v>26440</v>
      </c>
      <c r="K42" s="80">
        <v>25310</v>
      </c>
      <c r="L42" s="80">
        <v>25510</v>
      </c>
      <c r="M42" s="80">
        <v>25250</v>
      </c>
      <c r="N42" s="80">
        <v>26220</v>
      </c>
      <c r="O42" s="80">
        <v>26370</v>
      </c>
      <c r="P42" s="80">
        <v>26720</v>
      </c>
      <c r="Q42" s="80">
        <v>27590</v>
      </c>
      <c r="R42" s="80">
        <v>28240</v>
      </c>
      <c r="S42" s="80">
        <v>28830</v>
      </c>
      <c r="T42" s="80">
        <v>29810</v>
      </c>
      <c r="U42" s="80">
        <v>30250</v>
      </c>
      <c r="V42" s="80">
        <v>31230</v>
      </c>
      <c r="W42" s="80">
        <v>33050</v>
      </c>
      <c r="X42" s="80">
        <v>33810</v>
      </c>
      <c r="Y42" s="80">
        <v>35610</v>
      </c>
      <c r="Z42" s="80">
        <v>36920</v>
      </c>
      <c r="AA42" s="80">
        <v>36410</v>
      </c>
      <c r="AB42" s="80">
        <v>36270</v>
      </c>
      <c r="AC42" s="80">
        <v>35300</v>
      </c>
      <c r="AD42" s="80">
        <v>34950</v>
      </c>
      <c r="AE42" s="80">
        <v>34100</v>
      </c>
      <c r="AF42" s="80">
        <v>33730</v>
      </c>
      <c r="AG42" s="80">
        <v>32620</v>
      </c>
      <c r="AH42" s="80">
        <v>31600</v>
      </c>
      <c r="AI42" s="80">
        <v>32160</v>
      </c>
      <c r="AJ42" s="80">
        <v>31490</v>
      </c>
      <c r="AK42" s="80">
        <v>30270</v>
      </c>
      <c r="AL42" s="80">
        <v>29960</v>
      </c>
      <c r="AM42" s="80">
        <v>30400</v>
      </c>
      <c r="AN42" s="80">
        <v>30300</v>
      </c>
      <c r="AO42" s="80">
        <v>30900</v>
      </c>
      <c r="AP42" s="80">
        <v>32040</v>
      </c>
      <c r="AQ42" s="80">
        <v>33110</v>
      </c>
      <c r="AR42" s="80">
        <v>32810</v>
      </c>
      <c r="AS42" s="80">
        <v>33580</v>
      </c>
      <c r="AT42" s="80">
        <v>33180</v>
      </c>
      <c r="AU42" s="80">
        <v>32760</v>
      </c>
      <c r="AV42" s="80">
        <v>32400</v>
      </c>
      <c r="AW42" s="80">
        <v>31580</v>
      </c>
      <c r="AX42" s="80">
        <v>31520</v>
      </c>
      <c r="AY42" s="80">
        <v>31520</v>
      </c>
      <c r="AZ42" s="80">
        <v>31930</v>
      </c>
      <c r="BA42" s="80">
        <v>32440</v>
      </c>
      <c r="BB42" s="80">
        <v>32900</v>
      </c>
      <c r="BC42" s="80">
        <v>33290</v>
      </c>
      <c r="BD42" s="80">
        <v>33590</v>
      </c>
    </row>
    <row r="43" spans="3:56" x14ac:dyDescent="0.2">
      <c r="C43" s="28">
        <v>48</v>
      </c>
      <c r="E43" s="80">
        <v>28140</v>
      </c>
      <c r="F43" s="80">
        <v>28280</v>
      </c>
      <c r="G43" s="80">
        <v>29560</v>
      </c>
      <c r="H43" s="80">
        <v>29030</v>
      </c>
      <c r="I43" s="80">
        <v>28290</v>
      </c>
      <c r="J43" s="80">
        <v>27440</v>
      </c>
      <c r="K43" s="80">
        <v>26510</v>
      </c>
      <c r="L43" s="80">
        <v>25360</v>
      </c>
      <c r="M43" s="80">
        <v>25560</v>
      </c>
      <c r="N43" s="80">
        <v>25290</v>
      </c>
      <c r="O43" s="80">
        <v>26260</v>
      </c>
      <c r="P43" s="80">
        <v>26410</v>
      </c>
      <c r="Q43" s="80">
        <v>26750</v>
      </c>
      <c r="R43" s="80">
        <v>27610</v>
      </c>
      <c r="S43" s="80">
        <v>28260</v>
      </c>
      <c r="T43" s="80">
        <v>28850</v>
      </c>
      <c r="U43" s="80">
        <v>29820</v>
      </c>
      <c r="V43" s="80">
        <v>30260</v>
      </c>
      <c r="W43" s="80">
        <v>31240</v>
      </c>
      <c r="X43" s="80">
        <v>33050</v>
      </c>
      <c r="Y43" s="80">
        <v>33820</v>
      </c>
      <c r="Z43" s="80">
        <v>35620</v>
      </c>
      <c r="AA43" s="80">
        <v>36920</v>
      </c>
      <c r="AB43" s="80">
        <v>36410</v>
      </c>
      <c r="AC43" s="80">
        <v>36270</v>
      </c>
      <c r="AD43" s="80">
        <v>35290</v>
      </c>
      <c r="AE43" s="80">
        <v>34940</v>
      </c>
      <c r="AF43" s="80">
        <v>34090</v>
      </c>
      <c r="AG43" s="80">
        <v>33710</v>
      </c>
      <c r="AH43" s="80">
        <v>32600</v>
      </c>
      <c r="AI43" s="80">
        <v>31580</v>
      </c>
      <c r="AJ43" s="80">
        <v>32140</v>
      </c>
      <c r="AK43" s="80">
        <v>31470</v>
      </c>
      <c r="AL43" s="80">
        <v>30250</v>
      </c>
      <c r="AM43" s="80">
        <v>29950</v>
      </c>
      <c r="AN43" s="80">
        <v>30380</v>
      </c>
      <c r="AO43" s="80">
        <v>30280</v>
      </c>
      <c r="AP43" s="80">
        <v>30880</v>
      </c>
      <c r="AQ43" s="80">
        <v>32020</v>
      </c>
      <c r="AR43" s="80">
        <v>33090</v>
      </c>
      <c r="AS43" s="80">
        <v>32790</v>
      </c>
      <c r="AT43" s="80">
        <v>33560</v>
      </c>
      <c r="AU43" s="80">
        <v>33160</v>
      </c>
      <c r="AV43" s="80">
        <v>32740</v>
      </c>
      <c r="AW43" s="80">
        <v>32380</v>
      </c>
      <c r="AX43" s="80">
        <v>31570</v>
      </c>
      <c r="AY43" s="80">
        <v>31510</v>
      </c>
      <c r="AZ43" s="80">
        <v>31500</v>
      </c>
      <c r="BA43" s="80">
        <v>31920</v>
      </c>
      <c r="BB43" s="80">
        <v>32420</v>
      </c>
      <c r="BC43" s="80">
        <v>32880</v>
      </c>
      <c r="BD43" s="80">
        <v>33270</v>
      </c>
    </row>
    <row r="44" spans="3:56" x14ac:dyDescent="0.2">
      <c r="C44" s="28">
        <v>49</v>
      </c>
      <c r="E44" s="80">
        <v>27620</v>
      </c>
      <c r="F44" s="80">
        <v>28260</v>
      </c>
      <c r="G44" s="80">
        <v>28370</v>
      </c>
      <c r="H44" s="80">
        <v>29630</v>
      </c>
      <c r="I44" s="80">
        <v>29070</v>
      </c>
      <c r="J44" s="80">
        <v>28310</v>
      </c>
      <c r="K44" s="80">
        <v>27450</v>
      </c>
      <c r="L44" s="80">
        <v>26500</v>
      </c>
      <c r="M44" s="80">
        <v>25350</v>
      </c>
      <c r="N44" s="80">
        <v>25540</v>
      </c>
      <c r="O44" s="80">
        <v>25260</v>
      </c>
      <c r="P44" s="80">
        <v>26220</v>
      </c>
      <c r="Q44" s="80">
        <v>26370</v>
      </c>
      <c r="R44" s="80">
        <v>26700</v>
      </c>
      <c r="S44" s="80">
        <v>27560</v>
      </c>
      <c r="T44" s="80">
        <v>28210</v>
      </c>
      <c r="U44" s="80">
        <v>28790</v>
      </c>
      <c r="V44" s="80">
        <v>29750</v>
      </c>
      <c r="W44" s="80">
        <v>30190</v>
      </c>
      <c r="X44" s="80">
        <v>31160</v>
      </c>
      <c r="Y44" s="80">
        <v>32970</v>
      </c>
      <c r="Z44" s="80">
        <v>33720</v>
      </c>
      <c r="AA44" s="80">
        <v>35520</v>
      </c>
      <c r="AB44" s="80">
        <v>36810</v>
      </c>
      <c r="AC44" s="80">
        <v>36300</v>
      </c>
      <c r="AD44" s="80">
        <v>36160</v>
      </c>
      <c r="AE44" s="80">
        <v>35180</v>
      </c>
      <c r="AF44" s="80">
        <v>34830</v>
      </c>
      <c r="AG44" s="80">
        <v>33980</v>
      </c>
      <c r="AH44" s="80">
        <v>33600</v>
      </c>
      <c r="AI44" s="80">
        <v>32500</v>
      </c>
      <c r="AJ44" s="80">
        <v>31480</v>
      </c>
      <c r="AK44" s="80">
        <v>32030</v>
      </c>
      <c r="AL44" s="80">
        <v>31360</v>
      </c>
      <c r="AM44" s="80">
        <v>30140</v>
      </c>
      <c r="AN44" s="80">
        <v>29840</v>
      </c>
      <c r="AO44" s="80">
        <v>30270</v>
      </c>
      <c r="AP44" s="80">
        <v>30170</v>
      </c>
      <c r="AQ44" s="80">
        <v>30770</v>
      </c>
      <c r="AR44" s="80">
        <v>31910</v>
      </c>
      <c r="AS44" s="80">
        <v>32980</v>
      </c>
      <c r="AT44" s="80">
        <v>32670</v>
      </c>
      <c r="AU44" s="80">
        <v>33450</v>
      </c>
      <c r="AV44" s="80">
        <v>33040</v>
      </c>
      <c r="AW44" s="80">
        <v>32630</v>
      </c>
      <c r="AX44" s="80">
        <v>32270</v>
      </c>
      <c r="AY44" s="80">
        <v>31460</v>
      </c>
      <c r="AZ44" s="80">
        <v>31400</v>
      </c>
      <c r="BA44" s="80">
        <v>31390</v>
      </c>
      <c r="BB44" s="80">
        <v>31810</v>
      </c>
      <c r="BC44" s="80">
        <v>32310</v>
      </c>
      <c r="BD44" s="80">
        <v>32770</v>
      </c>
    </row>
    <row r="45" spans="3:56" x14ac:dyDescent="0.2">
      <c r="C45" s="28">
        <v>50</v>
      </c>
      <c r="E45" s="80">
        <v>27300</v>
      </c>
      <c r="F45" s="80">
        <v>27670</v>
      </c>
      <c r="G45" s="80">
        <v>28280</v>
      </c>
      <c r="H45" s="80">
        <v>28370</v>
      </c>
      <c r="I45" s="80">
        <v>29600</v>
      </c>
      <c r="J45" s="80">
        <v>29020</v>
      </c>
      <c r="K45" s="80">
        <v>28250</v>
      </c>
      <c r="L45" s="80">
        <v>27380</v>
      </c>
      <c r="M45" s="80">
        <v>26430</v>
      </c>
      <c r="N45" s="80">
        <v>25280</v>
      </c>
      <c r="O45" s="80">
        <v>25460</v>
      </c>
      <c r="P45" s="80">
        <v>25180</v>
      </c>
      <c r="Q45" s="80">
        <v>26130</v>
      </c>
      <c r="R45" s="80">
        <v>26270</v>
      </c>
      <c r="S45" s="80">
        <v>26600</v>
      </c>
      <c r="T45" s="80">
        <v>27450</v>
      </c>
      <c r="U45" s="80">
        <v>28090</v>
      </c>
      <c r="V45" s="80">
        <v>28660</v>
      </c>
      <c r="W45" s="80">
        <v>29620</v>
      </c>
      <c r="X45" s="80">
        <v>30050</v>
      </c>
      <c r="Y45" s="80">
        <v>31010</v>
      </c>
      <c r="Z45" s="80">
        <v>32810</v>
      </c>
      <c r="AA45" s="80">
        <v>33560</v>
      </c>
      <c r="AB45" s="80">
        <v>35340</v>
      </c>
      <c r="AC45" s="80">
        <v>36630</v>
      </c>
      <c r="AD45" s="80">
        <v>36110</v>
      </c>
      <c r="AE45" s="80">
        <v>35970</v>
      </c>
      <c r="AF45" s="80">
        <v>34990</v>
      </c>
      <c r="AG45" s="80">
        <v>34640</v>
      </c>
      <c r="AH45" s="80">
        <v>33800</v>
      </c>
      <c r="AI45" s="80">
        <v>33420</v>
      </c>
      <c r="AJ45" s="80">
        <v>32320</v>
      </c>
      <c r="AK45" s="80">
        <v>31310</v>
      </c>
      <c r="AL45" s="80">
        <v>31850</v>
      </c>
      <c r="AM45" s="80">
        <v>31190</v>
      </c>
      <c r="AN45" s="80">
        <v>29980</v>
      </c>
      <c r="AO45" s="80">
        <v>29680</v>
      </c>
      <c r="AP45" s="80">
        <v>30110</v>
      </c>
      <c r="AQ45" s="80">
        <v>30000</v>
      </c>
      <c r="AR45" s="80">
        <v>30610</v>
      </c>
      <c r="AS45" s="80">
        <v>31740</v>
      </c>
      <c r="AT45" s="80">
        <v>32800</v>
      </c>
      <c r="AU45" s="80">
        <v>32490</v>
      </c>
      <c r="AV45" s="80">
        <v>33260</v>
      </c>
      <c r="AW45" s="80">
        <v>32860</v>
      </c>
      <c r="AX45" s="80">
        <v>32450</v>
      </c>
      <c r="AY45" s="80">
        <v>32100</v>
      </c>
      <c r="AZ45" s="80">
        <v>31290</v>
      </c>
      <c r="BA45" s="80">
        <v>31230</v>
      </c>
      <c r="BB45" s="80">
        <v>31220</v>
      </c>
      <c r="BC45" s="80">
        <v>31640</v>
      </c>
      <c r="BD45" s="80">
        <v>32140</v>
      </c>
    </row>
    <row r="46" spans="3:56" x14ac:dyDescent="0.2">
      <c r="C46" s="28">
        <v>51</v>
      </c>
      <c r="E46" s="80">
        <v>26680</v>
      </c>
      <c r="F46" s="80">
        <v>27300</v>
      </c>
      <c r="G46" s="80">
        <v>27640</v>
      </c>
      <c r="H46" s="80">
        <v>28230</v>
      </c>
      <c r="I46" s="80">
        <v>28300</v>
      </c>
      <c r="J46" s="80">
        <v>29500</v>
      </c>
      <c r="K46" s="80">
        <v>28910</v>
      </c>
      <c r="L46" s="80">
        <v>28140</v>
      </c>
      <c r="M46" s="80">
        <v>27270</v>
      </c>
      <c r="N46" s="80">
        <v>26310</v>
      </c>
      <c r="O46" s="80">
        <v>25160</v>
      </c>
      <c r="P46" s="80">
        <v>25340</v>
      </c>
      <c r="Q46" s="80">
        <v>25050</v>
      </c>
      <c r="R46" s="80">
        <v>25990</v>
      </c>
      <c r="S46" s="80">
        <v>26130</v>
      </c>
      <c r="T46" s="80">
        <v>26450</v>
      </c>
      <c r="U46" s="80">
        <v>27300</v>
      </c>
      <c r="V46" s="80">
        <v>27920</v>
      </c>
      <c r="W46" s="80">
        <v>28500</v>
      </c>
      <c r="X46" s="80">
        <v>29440</v>
      </c>
      <c r="Y46" s="80">
        <v>29870</v>
      </c>
      <c r="Z46" s="80">
        <v>30820</v>
      </c>
      <c r="AA46" s="80">
        <v>32600</v>
      </c>
      <c r="AB46" s="80">
        <v>33350</v>
      </c>
      <c r="AC46" s="80">
        <v>35110</v>
      </c>
      <c r="AD46" s="80">
        <v>36390</v>
      </c>
      <c r="AE46" s="80">
        <v>35880</v>
      </c>
      <c r="AF46" s="80">
        <v>35730</v>
      </c>
      <c r="AG46" s="80">
        <v>34760</v>
      </c>
      <c r="AH46" s="80">
        <v>34420</v>
      </c>
      <c r="AI46" s="80">
        <v>33580</v>
      </c>
      <c r="AJ46" s="80">
        <v>33200</v>
      </c>
      <c r="AK46" s="80">
        <v>32100</v>
      </c>
      <c r="AL46" s="80">
        <v>31100</v>
      </c>
      <c r="AM46" s="80">
        <v>31640</v>
      </c>
      <c r="AN46" s="80">
        <v>30980</v>
      </c>
      <c r="AO46" s="80">
        <v>29780</v>
      </c>
      <c r="AP46" s="80">
        <v>29480</v>
      </c>
      <c r="AQ46" s="80">
        <v>29910</v>
      </c>
      <c r="AR46" s="80">
        <v>29800</v>
      </c>
      <c r="AS46" s="80">
        <v>30400</v>
      </c>
      <c r="AT46" s="80">
        <v>31520</v>
      </c>
      <c r="AU46" s="80">
        <v>32580</v>
      </c>
      <c r="AV46" s="80">
        <v>32280</v>
      </c>
      <c r="AW46" s="80">
        <v>33040</v>
      </c>
      <c r="AX46" s="80">
        <v>32640</v>
      </c>
      <c r="AY46" s="80">
        <v>32240</v>
      </c>
      <c r="AZ46" s="80">
        <v>31880</v>
      </c>
      <c r="BA46" s="80">
        <v>31080</v>
      </c>
      <c r="BB46" s="80">
        <v>31020</v>
      </c>
      <c r="BC46" s="80">
        <v>31020</v>
      </c>
      <c r="BD46" s="80">
        <v>31430</v>
      </c>
    </row>
    <row r="47" spans="3:56" x14ac:dyDescent="0.2">
      <c r="C47" s="28">
        <v>52</v>
      </c>
      <c r="E47" s="80">
        <v>26680</v>
      </c>
      <c r="F47" s="80">
        <v>26620</v>
      </c>
      <c r="G47" s="80">
        <v>27220</v>
      </c>
      <c r="H47" s="80">
        <v>27550</v>
      </c>
      <c r="I47" s="80">
        <v>28110</v>
      </c>
      <c r="J47" s="80">
        <v>28160</v>
      </c>
      <c r="K47" s="80">
        <v>29360</v>
      </c>
      <c r="L47" s="80">
        <v>28760</v>
      </c>
      <c r="M47" s="80">
        <v>27990</v>
      </c>
      <c r="N47" s="80">
        <v>27120</v>
      </c>
      <c r="O47" s="80">
        <v>26160</v>
      </c>
      <c r="P47" s="80">
        <v>25010</v>
      </c>
      <c r="Q47" s="80">
        <v>25190</v>
      </c>
      <c r="R47" s="80">
        <v>24900</v>
      </c>
      <c r="S47" s="80">
        <v>25830</v>
      </c>
      <c r="T47" s="80">
        <v>25960</v>
      </c>
      <c r="U47" s="80">
        <v>26280</v>
      </c>
      <c r="V47" s="80">
        <v>27120</v>
      </c>
      <c r="W47" s="80">
        <v>27740</v>
      </c>
      <c r="X47" s="80">
        <v>28310</v>
      </c>
      <c r="Y47" s="80">
        <v>29250</v>
      </c>
      <c r="Z47" s="80">
        <v>29670</v>
      </c>
      <c r="AA47" s="80">
        <v>30610</v>
      </c>
      <c r="AB47" s="80">
        <v>32380</v>
      </c>
      <c r="AC47" s="80">
        <v>33120</v>
      </c>
      <c r="AD47" s="80">
        <v>34870</v>
      </c>
      <c r="AE47" s="80">
        <v>36140</v>
      </c>
      <c r="AF47" s="80">
        <v>35630</v>
      </c>
      <c r="AG47" s="80">
        <v>35480</v>
      </c>
      <c r="AH47" s="80">
        <v>34520</v>
      </c>
      <c r="AI47" s="80">
        <v>34170</v>
      </c>
      <c r="AJ47" s="80">
        <v>33340</v>
      </c>
      <c r="AK47" s="80">
        <v>32960</v>
      </c>
      <c r="AL47" s="80">
        <v>31880</v>
      </c>
      <c r="AM47" s="80">
        <v>30880</v>
      </c>
      <c r="AN47" s="80">
        <v>31420</v>
      </c>
      <c r="AO47" s="80">
        <v>30760</v>
      </c>
      <c r="AP47" s="80">
        <v>29570</v>
      </c>
      <c r="AQ47" s="80">
        <v>29270</v>
      </c>
      <c r="AR47" s="80">
        <v>29700</v>
      </c>
      <c r="AS47" s="80">
        <v>29590</v>
      </c>
      <c r="AT47" s="80">
        <v>30190</v>
      </c>
      <c r="AU47" s="80">
        <v>31300</v>
      </c>
      <c r="AV47" s="80">
        <v>32350</v>
      </c>
      <c r="AW47" s="80">
        <v>32050</v>
      </c>
      <c r="AX47" s="80">
        <v>32810</v>
      </c>
      <c r="AY47" s="80">
        <v>32420</v>
      </c>
      <c r="AZ47" s="80">
        <v>32010</v>
      </c>
      <c r="BA47" s="80">
        <v>31660</v>
      </c>
      <c r="BB47" s="80">
        <v>30860</v>
      </c>
      <c r="BC47" s="80">
        <v>30810</v>
      </c>
      <c r="BD47" s="80">
        <v>30800</v>
      </c>
    </row>
    <row r="48" spans="3:56" x14ac:dyDescent="0.2">
      <c r="C48" s="28">
        <v>53</v>
      </c>
      <c r="E48" s="80">
        <v>27430</v>
      </c>
      <c r="F48" s="80">
        <v>26590</v>
      </c>
      <c r="G48" s="80">
        <v>26530</v>
      </c>
      <c r="H48" s="80">
        <v>27110</v>
      </c>
      <c r="I48" s="80">
        <v>27420</v>
      </c>
      <c r="J48" s="80">
        <v>27970</v>
      </c>
      <c r="K48" s="80">
        <v>28010</v>
      </c>
      <c r="L48" s="80">
        <v>29200</v>
      </c>
      <c r="M48" s="80">
        <v>28610</v>
      </c>
      <c r="N48" s="80">
        <v>27830</v>
      </c>
      <c r="O48" s="80">
        <v>26970</v>
      </c>
      <c r="P48" s="80">
        <v>26020</v>
      </c>
      <c r="Q48" s="80">
        <v>24870</v>
      </c>
      <c r="R48" s="80">
        <v>25050</v>
      </c>
      <c r="S48" s="80">
        <v>24760</v>
      </c>
      <c r="T48" s="80">
        <v>25680</v>
      </c>
      <c r="U48" s="80">
        <v>25810</v>
      </c>
      <c r="V48" s="80">
        <v>26130</v>
      </c>
      <c r="W48" s="80">
        <v>26960</v>
      </c>
      <c r="X48" s="80">
        <v>27580</v>
      </c>
      <c r="Y48" s="80">
        <v>28140</v>
      </c>
      <c r="Z48" s="80">
        <v>29070</v>
      </c>
      <c r="AA48" s="80">
        <v>29480</v>
      </c>
      <c r="AB48" s="80">
        <v>30430</v>
      </c>
      <c r="AC48" s="80">
        <v>32180</v>
      </c>
      <c r="AD48" s="80">
        <v>32910</v>
      </c>
      <c r="AE48" s="80">
        <v>34660</v>
      </c>
      <c r="AF48" s="80">
        <v>35910</v>
      </c>
      <c r="AG48" s="80">
        <v>35410</v>
      </c>
      <c r="AH48" s="80">
        <v>35260</v>
      </c>
      <c r="AI48" s="80">
        <v>34310</v>
      </c>
      <c r="AJ48" s="80">
        <v>33960</v>
      </c>
      <c r="AK48" s="80">
        <v>33130</v>
      </c>
      <c r="AL48" s="80">
        <v>32760</v>
      </c>
      <c r="AM48" s="80">
        <v>31680</v>
      </c>
      <c r="AN48" s="80">
        <v>30690</v>
      </c>
      <c r="AO48" s="80">
        <v>31220</v>
      </c>
      <c r="AP48" s="80">
        <v>30570</v>
      </c>
      <c r="AQ48" s="80">
        <v>29380</v>
      </c>
      <c r="AR48" s="80">
        <v>29090</v>
      </c>
      <c r="AS48" s="80">
        <v>29510</v>
      </c>
      <c r="AT48" s="80">
        <v>29410</v>
      </c>
      <c r="AU48" s="80">
        <v>30000</v>
      </c>
      <c r="AV48" s="80">
        <v>31110</v>
      </c>
      <c r="AW48" s="80">
        <v>32150</v>
      </c>
      <c r="AX48" s="80">
        <v>31850</v>
      </c>
      <c r="AY48" s="80">
        <v>32610</v>
      </c>
      <c r="AZ48" s="80">
        <v>32220</v>
      </c>
      <c r="BA48" s="80">
        <v>31820</v>
      </c>
      <c r="BB48" s="80">
        <v>31470</v>
      </c>
      <c r="BC48" s="80">
        <v>30680</v>
      </c>
      <c r="BD48" s="80">
        <v>30620</v>
      </c>
    </row>
    <row r="49" spans="3:56" x14ac:dyDescent="0.2">
      <c r="C49" s="28">
        <v>54</v>
      </c>
      <c r="E49" s="80">
        <v>27750</v>
      </c>
      <c r="F49" s="80">
        <v>27320</v>
      </c>
      <c r="G49" s="80">
        <v>26470</v>
      </c>
      <c r="H49" s="80">
        <v>26400</v>
      </c>
      <c r="I49" s="80">
        <v>26970</v>
      </c>
      <c r="J49" s="80">
        <v>27260</v>
      </c>
      <c r="K49" s="80">
        <v>27810</v>
      </c>
      <c r="L49" s="80">
        <v>27860</v>
      </c>
      <c r="M49" s="80">
        <v>29030</v>
      </c>
      <c r="N49" s="80">
        <v>28450</v>
      </c>
      <c r="O49" s="80">
        <v>27680</v>
      </c>
      <c r="P49" s="80">
        <v>26820</v>
      </c>
      <c r="Q49" s="80">
        <v>25870</v>
      </c>
      <c r="R49" s="80">
        <v>24740</v>
      </c>
      <c r="S49" s="80">
        <v>24910</v>
      </c>
      <c r="T49" s="80">
        <v>24620</v>
      </c>
      <c r="U49" s="80">
        <v>25540</v>
      </c>
      <c r="V49" s="80">
        <v>25670</v>
      </c>
      <c r="W49" s="80">
        <v>25980</v>
      </c>
      <c r="X49" s="80">
        <v>26810</v>
      </c>
      <c r="Y49" s="80">
        <v>27420</v>
      </c>
      <c r="Z49" s="80">
        <v>27980</v>
      </c>
      <c r="AA49" s="80">
        <v>28910</v>
      </c>
      <c r="AB49" s="80">
        <v>29320</v>
      </c>
      <c r="AC49" s="80">
        <v>30260</v>
      </c>
      <c r="AD49" s="80">
        <v>32000</v>
      </c>
      <c r="AE49" s="80">
        <v>32730</v>
      </c>
      <c r="AF49" s="80">
        <v>34460</v>
      </c>
      <c r="AG49" s="80">
        <v>35710</v>
      </c>
      <c r="AH49" s="80">
        <v>35210</v>
      </c>
      <c r="AI49" s="80">
        <v>35070</v>
      </c>
      <c r="AJ49" s="80">
        <v>34110</v>
      </c>
      <c r="AK49" s="80">
        <v>33770</v>
      </c>
      <c r="AL49" s="80">
        <v>32950</v>
      </c>
      <c r="AM49" s="80">
        <v>32580</v>
      </c>
      <c r="AN49" s="80">
        <v>31510</v>
      </c>
      <c r="AO49" s="80">
        <v>30520</v>
      </c>
      <c r="AP49" s="80">
        <v>31050</v>
      </c>
      <c r="AQ49" s="80">
        <v>30400</v>
      </c>
      <c r="AR49" s="80">
        <v>29230</v>
      </c>
      <c r="AS49" s="80">
        <v>28930</v>
      </c>
      <c r="AT49" s="80">
        <v>29350</v>
      </c>
      <c r="AU49" s="80">
        <v>29250</v>
      </c>
      <c r="AV49" s="80">
        <v>29840</v>
      </c>
      <c r="AW49" s="80">
        <v>30940</v>
      </c>
      <c r="AX49" s="80">
        <v>31980</v>
      </c>
      <c r="AY49" s="80">
        <v>31680</v>
      </c>
      <c r="AZ49" s="80">
        <v>32440</v>
      </c>
      <c r="BA49" s="80">
        <v>32050</v>
      </c>
      <c r="BB49" s="80">
        <v>31650</v>
      </c>
      <c r="BC49" s="80">
        <v>31310</v>
      </c>
      <c r="BD49" s="80">
        <v>30520</v>
      </c>
    </row>
    <row r="50" spans="3:56" x14ac:dyDescent="0.2">
      <c r="C50" s="28">
        <v>55</v>
      </c>
      <c r="E50" s="80">
        <v>27220</v>
      </c>
      <c r="F50" s="80">
        <v>27570</v>
      </c>
      <c r="G50" s="80">
        <v>27130</v>
      </c>
      <c r="H50" s="80">
        <v>26290</v>
      </c>
      <c r="I50" s="80">
        <v>26210</v>
      </c>
      <c r="J50" s="80">
        <v>26760</v>
      </c>
      <c r="K50" s="80">
        <v>27060</v>
      </c>
      <c r="L50" s="80">
        <v>27610</v>
      </c>
      <c r="M50" s="80">
        <v>27660</v>
      </c>
      <c r="N50" s="80">
        <v>28830</v>
      </c>
      <c r="O50" s="80">
        <v>28250</v>
      </c>
      <c r="P50" s="80">
        <v>27490</v>
      </c>
      <c r="Q50" s="80">
        <v>26640</v>
      </c>
      <c r="R50" s="80">
        <v>25700</v>
      </c>
      <c r="S50" s="80">
        <v>24570</v>
      </c>
      <c r="T50" s="80">
        <v>24750</v>
      </c>
      <c r="U50" s="80">
        <v>24460</v>
      </c>
      <c r="V50" s="80">
        <v>25380</v>
      </c>
      <c r="W50" s="80">
        <v>25510</v>
      </c>
      <c r="X50" s="80">
        <v>25820</v>
      </c>
      <c r="Y50" s="80">
        <v>26640</v>
      </c>
      <c r="Z50" s="80">
        <v>27250</v>
      </c>
      <c r="AA50" s="80">
        <v>27800</v>
      </c>
      <c r="AB50" s="80">
        <v>28720</v>
      </c>
      <c r="AC50" s="80">
        <v>29130</v>
      </c>
      <c r="AD50" s="80">
        <v>30070</v>
      </c>
      <c r="AE50" s="80">
        <v>31800</v>
      </c>
      <c r="AF50" s="80">
        <v>32520</v>
      </c>
      <c r="AG50" s="80">
        <v>34240</v>
      </c>
      <c r="AH50" s="80">
        <v>35480</v>
      </c>
      <c r="AI50" s="80">
        <v>34980</v>
      </c>
      <c r="AJ50" s="80">
        <v>34840</v>
      </c>
      <c r="AK50" s="80">
        <v>33900</v>
      </c>
      <c r="AL50" s="80">
        <v>33560</v>
      </c>
      <c r="AM50" s="80">
        <v>32740</v>
      </c>
      <c r="AN50" s="80">
        <v>32370</v>
      </c>
      <c r="AO50" s="80">
        <v>31310</v>
      </c>
      <c r="AP50" s="80">
        <v>30330</v>
      </c>
      <c r="AQ50" s="80">
        <v>30860</v>
      </c>
      <c r="AR50" s="80">
        <v>30220</v>
      </c>
      <c r="AS50" s="80">
        <v>29050</v>
      </c>
      <c r="AT50" s="80">
        <v>28760</v>
      </c>
      <c r="AU50" s="80">
        <v>29180</v>
      </c>
      <c r="AV50" s="80">
        <v>29080</v>
      </c>
      <c r="AW50" s="80">
        <v>29660</v>
      </c>
      <c r="AX50" s="80">
        <v>30760</v>
      </c>
      <c r="AY50" s="80">
        <v>31790</v>
      </c>
      <c r="AZ50" s="80">
        <v>31490</v>
      </c>
      <c r="BA50" s="80">
        <v>32250</v>
      </c>
      <c r="BB50" s="80">
        <v>31860</v>
      </c>
      <c r="BC50" s="80">
        <v>31460</v>
      </c>
      <c r="BD50" s="80">
        <v>31120</v>
      </c>
    </row>
    <row r="51" spans="3:56" x14ac:dyDescent="0.2">
      <c r="C51" s="28">
        <v>56</v>
      </c>
      <c r="E51" s="80">
        <v>26350</v>
      </c>
      <c r="F51" s="80">
        <v>27000</v>
      </c>
      <c r="G51" s="80">
        <v>27340</v>
      </c>
      <c r="H51" s="80">
        <v>26890</v>
      </c>
      <c r="I51" s="80">
        <v>26050</v>
      </c>
      <c r="J51" s="80">
        <v>25960</v>
      </c>
      <c r="K51" s="80">
        <v>26520</v>
      </c>
      <c r="L51" s="80">
        <v>26810</v>
      </c>
      <c r="M51" s="80">
        <v>27360</v>
      </c>
      <c r="N51" s="80">
        <v>27410</v>
      </c>
      <c r="O51" s="80">
        <v>28570</v>
      </c>
      <c r="P51" s="80">
        <v>28000</v>
      </c>
      <c r="Q51" s="80">
        <v>27240</v>
      </c>
      <c r="R51" s="80">
        <v>26400</v>
      </c>
      <c r="S51" s="80">
        <v>25480</v>
      </c>
      <c r="T51" s="80">
        <v>24360</v>
      </c>
      <c r="U51" s="80">
        <v>24540</v>
      </c>
      <c r="V51" s="80">
        <v>24260</v>
      </c>
      <c r="W51" s="80">
        <v>25160</v>
      </c>
      <c r="X51" s="80">
        <v>25290</v>
      </c>
      <c r="Y51" s="80">
        <v>25600</v>
      </c>
      <c r="Z51" s="80">
        <v>26410</v>
      </c>
      <c r="AA51" s="80">
        <v>27020</v>
      </c>
      <c r="AB51" s="80">
        <v>27570</v>
      </c>
      <c r="AC51" s="80">
        <v>28480</v>
      </c>
      <c r="AD51" s="80">
        <v>28890</v>
      </c>
      <c r="AE51" s="80">
        <v>29810</v>
      </c>
      <c r="AF51" s="80">
        <v>31530</v>
      </c>
      <c r="AG51" s="80">
        <v>32240</v>
      </c>
      <c r="AH51" s="80">
        <v>33950</v>
      </c>
      <c r="AI51" s="80">
        <v>35180</v>
      </c>
      <c r="AJ51" s="80">
        <v>34690</v>
      </c>
      <c r="AK51" s="80">
        <v>34550</v>
      </c>
      <c r="AL51" s="80">
        <v>33610</v>
      </c>
      <c r="AM51" s="80">
        <v>33270</v>
      </c>
      <c r="AN51" s="80">
        <v>32470</v>
      </c>
      <c r="AO51" s="80">
        <v>32100</v>
      </c>
      <c r="AP51" s="80">
        <v>31050</v>
      </c>
      <c r="AQ51" s="80">
        <v>30080</v>
      </c>
      <c r="AR51" s="80">
        <v>30610</v>
      </c>
      <c r="AS51" s="80">
        <v>29970</v>
      </c>
      <c r="AT51" s="80">
        <v>28810</v>
      </c>
      <c r="AU51" s="80">
        <v>28520</v>
      </c>
      <c r="AV51" s="80">
        <v>28940</v>
      </c>
      <c r="AW51" s="80">
        <v>28840</v>
      </c>
      <c r="AX51" s="80">
        <v>29420</v>
      </c>
      <c r="AY51" s="80">
        <v>30510</v>
      </c>
      <c r="AZ51" s="80">
        <v>31530</v>
      </c>
      <c r="BA51" s="80">
        <v>31240</v>
      </c>
      <c r="BB51" s="80">
        <v>31980</v>
      </c>
      <c r="BC51" s="80">
        <v>31600</v>
      </c>
      <c r="BD51" s="80">
        <v>31210</v>
      </c>
    </row>
    <row r="52" spans="3:56" x14ac:dyDescent="0.2">
      <c r="C52" s="28">
        <v>57</v>
      </c>
      <c r="E52" s="80">
        <v>24760</v>
      </c>
      <c r="F52" s="80">
        <v>26050</v>
      </c>
      <c r="G52" s="80">
        <v>26680</v>
      </c>
      <c r="H52" s="80">
        <v>27000</v>
      </c>
      <c r="I52" s="80">
        <v>26560</v>
      </c>
      <c r="J52" s="80">
        <v>25720</v>
      </c>
      <c r="K52" s="80">
        <v>25630</v>
      </c>
      <c r="L52" s="80">
        <v>26180</v>
      </c>
      <c r="M52" s="80">
        <v>26470</v>
      </c>
      <c r="N52" s="80">
        <v>27010</v>
      </c>
      <c r="O52" s="80">
        <v>27060</v>
      </c>
      <c r="P52" s="80">
        <v>28210</v>
      </c>
      <c r="Q52" s="80">
        <v>27640</v>
      </c>
      <c r="R52" s="80">
        <v>26900</v>
      </c>
      <c r="S52" s="80">
        <v>26080</v>
      </c>
      <c r="T52" s="80">
        <v>25170</v>
      </c>
      <c r="U52" s="80">
        <v>24070</v>
      </c>
      <c r="V52" s="80">
        <v>24240</v>
      </c>
      <c r="W52" s="80">
        <v>23960</v>
      </c>
      <c r="X52" s="80">
        <v>24860</v>
      </c>
      <c r="Y52" s="80">
        <v>24980</v>
      </c>
      <c r="Z52" s="80">
        <v>25290</v>
      </c>
      <c r="AA52" s="80">
        <v>26090</v>
      </c>
      <c r="AB52" s="80">
        <v>26690</v>
      </c>
      <c r="AC52" s="80">
        <v>27230</v>
      </c>
      <c r="AD52" s="80">
        <v>28130</v>
      </c>
      <c r="AE52" s="80">
        <v>28540</v>
      </c>
      <c r="AF52" s="80">
        <v>29450</v>
      </c>
      <c r="AG52" s="80">
        <v>31140</v>
      </c>
      <c r="AH52" s="80">
        <v>31850</v>
      </c>
      <c r="AI52" s="80">
        <v>33530</v>
      </c>
      <c r="AJ52" s="80">
        <v>34740</v>
      </c>
      <c r="AK52" s="80">
        <v>34260</v>
      </c>
      <c r="AL52" s="80">
        <v>34120</v>
      </c>
      <c r="AM52" s="80">
        <v>33200</v>
      </c>
      <c r="AN52" s="80">
        <v>32870</v>
      </c>
      <c r="AO52" s="80">
        <v>32070</v>
      </c>
      <c r="AP52" s="80">
        <v>31710</v>
      </c>
      <c r="AQ52" s="80">
        <v>30670</v>
      </c>
      <c r="AR52" s="80">
        <v>29720</v>
      </c>
      <c r="AS52" s="80">
        <v>30240</v>
      </c>
      <c r="AT52" s="80">
        <v>29610</v>
      </c>
      <c r="AU52" s="80">
        <v>28470</v>
      </c>
      <c r="AV52" s="80">
        <v>28190</v>
      </c>
      <c r="AW52" s="80">
        <v>28600</v>
      </c>
      <c r="AX52" s="80">
        <v>28500</v>
      </c>
      <c r="AY52" s="80">
        <v>29070</v>
      </c>
      <c r="AZ52" s="80">
        <v>30140</v>
      </c>
      <c r="BA52" s="80">
        <v>31150</v>
      </c>
      <c r="BB52" s="80">
        <v>30870</v>
      </c>
      <c r="BC52" s="80">
        <v>31600</v>
      </c>
      <c r="BD52" s="80">
        <v>31220</v>
      </c>
    </row>
    <row r="53" spans="3:56" x14ac:dyDescent="0.2">
      <c r="C53" s="28">
        <v>58</v>
      </c>
      <c r="E53" s="80">
        <v>23940</v>
      </c>
      <c r="F53" s="80">
        <v>24490</v>
      </c>
      <c r="G53" s="80">
        <v>25750</v>
      </c>
      <c r="H53" s="80">
        <v>26380</v>
      </c>
      <c r="I53" s="80">
        <v>26690</v>
      </c>
      <c r="J53" s="80">
        <v>26250</v>
      </c>
      <c r="K53" s="80">
        <v>25430</v>
      </c>
      <c r="L53" s="80">
        <v>25360</v>
      </c>
      <c r="M53" s="80">
        <v>25910</v>
      </c>
      <c r="N53" s="80">
        <v>26210</v>
      </c>
      <c r="O53" s="80">
        <v>26750</v>
      </c>
      <c r="P53" s="80">
        <v>26800</v>
      </c>
      <c r="Q53" s="80">
        <v>27940</v>
      </c>
      <c r="R53" s="80">
        <v>27390</v>
      </c>
      <c r="S53" s="80">
        <v>26670</v>
      </c>
      <c r="T53" s="80">
        <v>25850</v>
      </c>
      <c r="U53" s="80">
        <v>24960</v>
      </c>
      <c r="V53" s="80">
        <v>23870</v>
      </c>
      <c r="W53" s="80">
        <v>24050</v>
      </c>
      <c r="X53" s="80">
        <v>23780</v>
      </c>
      <c r="Y53" s="80">
        <v>24670</v>
      </c>
      <c r="Z53" s="80">
        <v>24790</v>
      </c>
      <c r="AA53" s="80">
        <v>25100</v>
      </c>
      <c r="AB53" s="80">
        <v>25900</v>
      </c>
      <c r="AC53" s="80">
        <v>26490</v>
      </c>
      <c r="AD53" s="80">
        <v>27030</v>
      </c>
      <c r="AE53" s="80">
        <v>27930</v>
      </c>
      <c r="AF53" s="80">
        <v>28330</v>
      </c>
      <c r="AG53" s="80">
        <v>29230</v>
      </c>
      <c r="AH53" s="80">
        <v>30910</v>
      </c>
      <c r="AI53" s="80">
        <v>31610</v>
      </c>
      <c r="AJ53" s="80">
        <v>33280</v>
      </c>
      <c r="AK53" s="80">
        <v>34490</v>
      </c>
      <c r="AL53" s="80">
        <v>34010</v>
      </c>
      <c r="AM53" s="80">
        <v>33870</v>
      </c>
      <c r="AN53" s="80">
        <v>32960</v>
      </c>
      <c r="AO53" s="80">
        <v>32630</v>
      </c>
      <c r="AP53" s="80">
        <v>31840</v>
      </c>
      <c r="AQ53" s="80">
        <v>31490</v>
      </c>
      <c r="AR53" s="80">
        <v>30460</v>
      </c>
      <c r="AS53" s="80">
        <v>29510</v>
      </c>
      <c r="AT53" s="80">
        <v>30030</v>
      </c>
      <c r="AU53" s="80">
        <v>29410</v>
      </c>
      <c r="AV53" s="80">
        <v>28270</v>
      </c>
      <c r="AW53" s="80">
        <v>28000</v>
      </c>
      <c r="AX53" s="80">
        <v>28400</v>
      </c>
      <c r="AY53" s="80">
        <v>28310</v>
      </c>
      <c r="AZ53" s="80">
        <v>28880</v>
      </c>
      <c r="BA53" s="80">
        <v>29940</v>
      </c>
      <c r="BB53" s="80">
        <v>30940</v>
      </c>
      <c r="BC53" s="80">
        <v>30660</v>
      </c>
      <c r="BD53" s="80">
        <v>31390</v>
      </c>
    </row>
    <row r="54" spans="3:56" x14ac:dyDescent="0.2">
      <c r="C54" s="28">
        <v>59</v>
      </c>
      <c r="E54" s="80">
        <v>22470</v>
      </c>
      <c r="F54" s="80">
        <v>23680</v>
      </c>
      <c r="G54" s="80">
        <v>24230</v>
      </c>
      <c r="H54" s="80">
        <v>25480</v>
      </c>
      <c r="I54" s="80">
        <v>26100</v>
      </c>
      <c r="J54" s="80">
        <v>26410</v>
      </c>
      <c r="K54" s="80">
        <v>25990</v>
      </c>
      <c r="L54" s="80">
        <v>25200</v>
      </c>
      <c r="M54" s="80">
        <v>25140</v>
      </c>
      <c r="N54" s="80">
        <v>25690</v>
      </c>
      <c r="O54" s="80">
        <v>26000</v>
      </c>
      <c r="P54" s="80">
        <v>26550</v>
      </c>
      <c r="Q54" s="80">
        <v>26620</v>
      </c>
      <c r="R54" s="80">
        <v>27760</v>
      </c>
      <c r="S54" s="80">
        <v>27220</v>
      </c>
      <c r="T54" s="80">
        <v>26510</v>
      </c>
      <c r="U54" s="80">
        <v>25710</v>
      </c>
      <c r="V54" s="80">
        <v>24830</v>
      </c>
      <c r="W54" s="80">
        <v>23760</v>
      </c>
      <c r="X54" s="80">
        <v>23930</v>
      </c>
      <c r="Y54" s="80">
        <v>23670</v>
      </c>
      <c r="Z54" s="80">
        <v>24560</v>
      </c>
      <c r="AA54" s="80">
        <v>24690</v>
      </c>
      <c r="AB54" s="80">
        <v>24990</v>
      </c>
      <c r="AC54" s="80">
        <v>25790</v>
      </c>
      <c r="AD54" s="80">
        <v>26380</v>
      </c>
      <c r="AE54" s="80">
        <v>26920</v>
      </c>
      <c r="AF54" s="80">
        <v>27810</v>
      </c>
      <c r="AG54" s="80">
        <v>28220</v>
      </c>
      <c r="AH54" s="80">
        <v>29120</v>
      </c>
      <c r="AI54" s="80">
        <v>30790</v>
      </c>
      <c r="AJ54" s="80">
        <v>31490</v>
      </c>
      <c r="AK54" s="80">
        <v>33150</v>
      </c>
      <c r="AL54" s="80">
        <v>34350</v>
      </c>
      <c r="AM54" s="80">
        <v>33870</v>
      </c>
      <c r="AN54" s="80">
        <v>33740</v>
      </c>
      <c r="AO54" s="80">
        <v>32830</v>
      </c>
      <c r="AP54" s="80">
        <v>32510</v>
      </c>
      <c r="AQ54" s="80">
        <v>31730</v>
      </c>
      <c r="AR54" s="80">
        <v>31370</v>
      </c>
      <c r="AS54" s="80">
        <v>30350</v>
      </c>
      <c r="AT54" s="80">
        <v>29410</v>
      </c>
      <c r="AU54" s="80">
        <v>29930</v>
      </c>
      <c r="AV54" s="80">
        <v>29310</v>
      </c>
      <c r="AW54" s="80">
        <v>28180</v>
      </c>
      <c r="AX54" s="80">
        <v>27910</v>
      </c>
      <c r="AY54" s="80">
        <v>28310</v>
      </c>
      <c r="AZ54" s="80">
        <v>28220</v>
      </c>
      <c r="BA54" s="80">
        <v>28780</v>
      </c>
      <c r="BB54" s="80">
        <v>29840</v>
      </c>
      <c r="BC54" s="80">
        <v>30840</v>
      </c>
      <c r="BD54" s="80">
        <v>30560</v>
      </c>
    </row>
    <row r="55" spans="3:56" x14ac:dyDescent="0.2">
      <c r="C55" s="28">
        <v>60</v>
      </c>
      <c r="E55" s="80">
        <v>21480</v>
      </c>
      <c r="F55" s="80">
        <v>21980</v>
      </c>
      <c r="G55" s="80">
        <v>23150</v>
      </c>
      <c r="H55" s="80">
        <v>23680</v>
      </c>
      <c r="I55" s="80">
        <v>24900</v>
      </c>
      <c r="J55" s="80">
        <v>25500</v>
      </c>
      <c r="K55" s="80">
        <v>25820</v>
      </c>
      <c r="L55" s="80">
        <v>25420</v>
      </c>
      <c r="M55" s="80">
        <v>24660</v>
      </c>
      <c r="N55" s="80">
        <v>24600</v>
      </c>
      <c r="O55" s="80">
        <v>25160</v>
      </c>
      <c r="P55" s="80">
        <v>25470</v>
      </c>
      <c r="Q55" s="80">
        <v>26010</v>
      </c>
      <c r="R55" s="80">
        <v>26080</v>
      </c>
      <c r="S55" s="80">
        <v>27200</v>
      </c>
      <c r="T55" s="80">
        <v>26680</v>
      </c>
      <c r="U55" s="80">
        <v>25990</v>
      </c>
      <c r="V55" s="80">
        <v>25210</v>
      </c>
      <c r="W55" s="80">
        <v>24350</v>
      </c>
      <c r="X55" s="80">
        <v>23310</v>
      </c>
      <c r="Y55" s="80">
        <v>23490</v>
      </c>
      <c r="Z55" s="80">
        <v>23230</v>
      </c>
      <c r="AA55" s="80">
        <v>24100</v>
      </c>
      <c r="AB55" s="80">
        <v>24230</v>
      </c>
      <c r="AC55" s="80">
        <v>24540</v>
      </c>
      <c r="AD55" s="80">
        <v>25320</v>
      </c>
      <c r="AE55" s="80">
        <v>25900</v>
      </c>
      <c r="AF55" s="80">
        <v>26430</v>
      </c>
      <c r="AG55" s="80">
        <v>27310</v>
      </c>
      <c r="AH55" s="80">
        <v>27700</v>
      </c>
      <c r="AI55" s="80">
        <v>28580</v>
      </c>
      <c r="AJ55" s="80">
        <v>30220</v>
      </c>
      <c r="AK55" s="80">
        <v>30910</v>
      </c>
      <c r="AL55" s="80">
        <v>32540</v>
      </c>
      <c r="AM55" s="80">
        <v>33710</v>
      </c>
      <c r="AN55" s="80">
        <v>33250</v>
      </c>
      <c r="AO55" s="80">
        <v>33120</v>
      </c>
      <c r="AP55" s="80">
        <v>32230</v>
      </c>
      <c r="AQ55" s="80">
        <v>31920</v>
      </c>
      <c r="AR55" s="80">
        <v>31150</v>
      </c>
      <c r="AS55" s="80">
        <v>30810</v>
      </c>
      <c r="AT55" s="80">
        <v>29810</v>
      </c>
      <c r="AU55" s="80">
        <v>28880</v>
      </c>
      <c r="AV55" s="80">
        <v>29390</v>
      </c>
      <c r="AW55" s="80">
        <v>28780</v>
      </c>
      <c r="AX55" s="80">
        <v>27680</v>
      </c>
      <c r="AY55" s="80">
        <v>27410</v>
      </c>
      <c r="AZ55" s="80">
        <v>27810</v>
      </c>
      <c r="BA55" s="80">
        <v>27720</v>
      </c>
      <c r="BB55" s="80">
        <v>28270</v>
      </c>
      <c r="BC55" s="80">
        <v>29310</v>
      </c>
      <c r="BD55" s="80">
        <v>30290</v>
      </c>
    </row>
    <row r="56" spans="3:56" x14ac:dyDescent="0.2">
      <c r="C56" s="28">
        <v>61</v>
      </c>
      <c r="E56" s="80">
        <v>19870</v>
      </c>
      <c r="F56" s="80">
        <v>20660</v>
      </c>
      <c r="G56" s="80">
        <v>21130</v>
      </c>
      <c r="H56" s="80">
        <v>22240</v>
      </c>
      <c r="I56" s="80">
        <v>22750</v>
      </c>
      <c r="J56" s="80">
        <v>23910</v>
      </c>
      <c r="K56" s="80">
        <v>24490</v>
      </c>
      <c r="L56" s="80">
        <v>24810</v>
      </c>
      <c r="M56" s="80">
        <v>24430</v>
      </c>
      <c r="N56" s="80">
        <v>23700</v>
      </c>
      <c r="O56" s="80">
        <v>23660</v>
      </c>
      <c r="P56" s="80">
        <v>24200</v>
      </c>
      <c r="Q56" s="80">
        <v>24500</v>
      </c>
      <c r="R56" s="80">
        <v>25020</v>
      </c>
      <c r="S56" s="80">
        <v>25100</v>
      </c>
      <c r="T56" s="80">
        <v>26180</v>
      </c>
      <c r="U56" s="80">
        <v>25680</v>
      </c>
      <c r="V56" s="80">
        <v>25020</v>
      </c>
      <c r="W56" s="80">
        <v>24280</v>
      </c>
      <c r="X56" s="80">
        <v>23450</v>
      </c>
      <c r="Y56" s="80">
        <v>22450</v>
      </c>
      <c r="Z56" s="80">
        <v>22620</v>
      </c>
      <c r="AA56" s="80">
        <v>22380</v>
      </c>
      <c r="AB56" s="80">
        <v>23220</v>
      </c>
      <c r="AC56" s="80">
        <v>23350</v>
      </c>
      <c r="AD56" s="80">
        <v>23640</v>
      </c>
      <c r="AE56" s="80">
        <v>24390</v>
      </c>
      <c r="AF56" s="80">
        <v>24950</v>
      </c>
      <c r="AG56" s="80">
        <v>25460</v>
      </c>
      <c r="AH56" s="80">
        <v>26310</v>
      </c>
      <c r="AI56" s="80">
        <v>26690</v>
      </c>
      <c r="AJ56" s="80">
        <v>27540</v>
      </c>
      <c r="AK56" s="80">
        <v>29110</v>
      </c>
      <c r="AL56" s="80">
        <v>29770</v>
      </c>
      <c r="AM56" s="80">
        <v>31340</v>
      </c>
      <c r="AN56" s="80">
        <v>32470</v>
      </c>
      <c r="AO56" s="80">
        <v>32020</v>
      </c>
      <c r="AP56" s="80">
        <v>31900</v>
      </c>
      <c r="AQ56" s="80">
        <v>31050</v>
      </c>
      <c r="AR56" s="80">
        <v>30750</v>
      </c>
      <c r="AS56" s="80">
        <v>30010</v>
      </c>
      <c r="AT56" s="80">
        <v>29680</v>
      </c>
      <c r="AU56" s="80">
        <v>28720</v>
      </c>
      <c r="AV56" s="80">
        <v>27830</v>
      </c>
      <c r="AW56" s="80">
        <v>28320</v>
      </c>
      <c r="AX56" s="80">
        <v>27740</v>
      </c>
      <c r="AY56" s="80">
        <v>26680</v>
      </c>
      <c r="AZ56" s="80">
        <v>26420</v>
      </c>
      <c r="BA56" s="80">
        <v>26800</v>
      </c>
      <c r="BB56" s="80">
        <v>26720</v>
      </c>
      <c r="BC56" s="80">
        <v>27250</v>
      </c>
      <c r="BD56" s="80">
        <v>28250</v>
      </c>
    </row>
    <row r="57" spans="3:56" x14ac:dyDescent="0.2">
      <c r="C57" s="28">
        <v>62</v>
      </c>
      <c r="E57" s="80">
        <v>18160</v>
      </c>
      <c r="F57" s="80">
        <v>18870</v>
      </c>
      <c r="G57" s="80">
        <v>19610</v>
      </c>
      <c r="H57" s="80">
        <v>20060</v>
      </c>
      <c r="I57" s="80">
        <v>21110</v>
      </c>
      <c r="J57" s="80">
        <v>21600</v>
      </c>
      <c r="K57" s="80">
        <v>22710</v>
      </c>
      <c r="L57" s="80">
        <v>23270</v>
      </c>
      <c r="M57" s="80">
        <v>23580</v>
      </c>
      <c r="N57" s="80">
        <v>23230</v>
      </c>
      <c r="O57" s="80">
        <v>22550</v>
      </c>
      <c r="P57" s="80">
        <v>22510</v>
      </c>
      <c r="Q57" s="80">
        <v>23030</v>
      </c>
      <c r="R57" s="80">
        <v>23320</v>
      </c>
      <c r="S57" s="80">
        <v>23820</v>
      </c>
      <c r="T57" s="80">
        <v>23900</v>
      </c>
      <c r="U57" s="80">
        <v>24930</v>
      </c>
      <c r="V57" s="80">
        <v>24470</v>
      </c>
      <c r="W57" s="80">
        <v>23840</v>
      </c>
      <c r="X57" s="80">
        <v>23140</v>
      </c>
      <c r="Y57" s="80">
        <v>22360</v>
      </c>
      <c r="Z57" s="80">
        <v>21410</v>
      </c>
      <c r="AA57" s="80">
        <v>21570</v>
      </c>
      <c r="AB57" s="80">
        <v>21340</v>
      </c>
      <c r="AC57" s="80">
        <v>22140</v>
      </c>
      <c r="AD57" s="80">
        <v>22270</v>
      </c>
      <c r="AE57" s="80">
        <v>22550</v>
      </c>
      <c r="AF57" s="80">
        <v>23270</v>
      </c>
      <c r="AG57" s="80">
        <v>23800</v>
      </c>
      <c r="AH57" s="80">
        <v>24290</v>
      </c>
      <c r="AI57" s="80">
        <v>25090</v>
      </c>
      <c r="AJ57" s="80">
        <v>25450</v>
      </c>
      <c r="AK57" s="80">
        <v>26260</v>
      </c>
      <c r="AL57" s="80">
        <v>27760</v>
      </c>
      <c r="AM57" s="80">
        <v>28390</v>
      </c>
      <c r="AN57" s="80">
        <v>29890</v>
      </c>
      <c r="AO57" s="80">
        <v>30960</v>
      </c>
      <c r="AP57" s="80">
        <v>30540</v>
      </c>
      <c r="AQ57" s="80">
        <v>30420</v>
      </c>
      <c r="AR57" s="80">
        <v>29610</v>
      </c>
      <c r="AS57" s="80">
        <v>29330</v>
      </c>
      <c r="AT57" s="80">
        <v>28630</v>
      </c>
      <c r="AU57" s="80">
        <v>28310</v>
      </c>
      <c r="AV57" s="80">
        <v>27400</v>
      </c>
      <c r="AW57" s="80">
        <v>26550</v>
      </c>
      <c r="AX57" s="80">
        <v>27020</v>
      </c>
      <c r="AY57" s="80">
        <v>26470</v>
      </c>
      <c r="AZ57" s="80">
        <v>25460</v>
      </c>
      <c r="BA57" s="80">
        <v>25210</v>
      </c>
      <c r="BB57" s="80">
        <v>25580</v>
      </c>
      <c r="BC57" s="80">
        <v>25500</v>
      </c>
      <c r="BD57" s="80">
        <v>26010</v>
      </c>
    </row>
    <row r="58" spans="3:56" x14ac:dyDescent="0.2">
      <c r="C58" s="28">
        <v>63</v>
      </c>
      <c r="E58" s="80">
        <v>16450</v>
      </c>
      <c r="F58" s="80">
        <v>17060</v>
      </c>
      <c r="G58" s="80">
        <v>17720</v>
      </c>
      <c r="H58" s="80">
        <v>18420</v>
      </c>
      <c r="I58" s="80">
        <v>18840</v>
      </c>
      <c r="J58" s="80">
        <v>19840</v>
      </c>
      <c r="K58" s="80">
        <v>20300</v>
      </c>
      <c r="L58" s="80">
        <v>21350</v>
      </c>
      <c r="M58" s="80">
        <v>21890</v>
      </c>
      <c r="N58" s="80">
        <v>22190</v>
      </c>
      <c r="O58" s="80">
        <v>21870</v>
      </c>
      <c r="P58" s="80">
        <v>21240</v>
      </c>
      <c r="Q58" s="80">
        <v>21220</v>
      </c>
      <c r="R58" s="80">
        <v>21710</v>
      </c>
      <c r="S58" s="80">
        <v>21990</v>
      </c>
      <c r="T58" s="80">
        <v>22470</v>
      </c>
      <c r="U58" s="80">
        <v>22550</v>
      </c>
      <c r="V58" s="80">
        <v>23520</v>
      </c>
      <c r="W58" s="80">
        <v>23090</v>
      </c>
      <c r="X58" s="80">
        <v>22510</v>
      </c>
      <c r="Y58" s="80">
        <v>21850</v>
      </c>
      <c r="Z58" s="80">
        <v>21110</v>
      </c>
      <c r="AA58" s="80">
        <v>20220</v>
      </c>
      <c r="AB58" s="80">
        <v>20380</v>
      </c>
      <c r="AC58" s="80">
        <v>20170</v>
      </c>
      <c r="AD58" s="80">
        <v>20920</v>
      </c>
      <c r="AE58" s="80">
        <v>21040</v>
      </c>
      <c r="AF58" s="80">
        <v>21310</v>
      </c>
      <c r="AG58" s="80">
        <v>21990</v>
      </c>
      <c r="AH58" s="80">
        <v>22490</v>
      </c>
      <c r="AI58" s="80">
        <v>22950</v>
      </c>
      <c r="AJ58" s="80">
        <v>23710</v>
      </c>
      <c r="AK58" s="80">
        <v>24050</v>
      </c>
      <c r="AL58" s="80">
        <v>24820</v>
      </c>
      <c r="AM58" s="80">
        <v>26230</v>
      </c>
      <c r="AN58" s="80">
        <v>26830</v>
      </c>
      <c r="AO58" s="80">
        <v>28240</v>
      </c>
      <c r="AP58" s="80">
        <v>29260</v>
      </c>
      <c r="AQ58" s="80">
        <v>28860</v>
      </c>
      <c r="AR58" s="80">
        <v>28750</v>
      </c>
      <c r="AS58" s="80">
        <v>27990</v>
      </c>
      <c r="AT58" s="80">
        <v>27720</v>
      </c>
      <c r="AU58" s="80">
        <v>27060</v>
      </c>
      <c r="AV58" s="80">
        <v>26760</v>
      </c>
      <c r="AW58" s="80">
        <v>25900</v>
      </c>
      <c r="AX58" s="80">
        <v>25100</v>
      </c>
      <c r="AY58" s="80">
        <v>25540</v>
      </c>
      <c r="AZ58" s="80">
        <v>25020</v>
      </c>
      <c r="BA58" s="80">
        <v>24070</v>
      </c>
      <c r="BB58" s="80">
        <v>23840</v>
      </c>
      <c r="BC58" s="80">
        <v>24190</v>
      </c>
      <c r="BD58" s="80">
        <v>24110</v>
      </c>
    </row>
    <row r="59" spans="3:56" x14ac:dyDescent="0.2">
      <c r="C59" s="28">
        <v>64</v>
      </c>
      <c r="E59" s="80">
        <v>14250</v>
      </c>
      <c r="F59" s="80">
        <v>15080</v>
      </c>
      <c r="G59" s="80">
        <v>15650</v>
      </c>
      <c r="H59" s="80">
        <v>16260</v>
      </c>
      <c r="I59" s="80">
        <v>16920</v>
      </c>
      <c r="J59" s="80">
        <v>17310</v>
      </c>
      <c r="K59" s="80">
        <v>18230</v>
      </c>
      <c r="L59" s="80">
        <v>18670</v>
      </c>
      <c r="M59" s="80">
        <v>19650</v>
      </c>
      <c r="N59" s="80">
        <v>20160</v>
      </c>
      <c r="O59" s="80">
        <v>20440</v>
      </c>
      <c r="P59" s="80">
        <v>20160</v>
      </c>
      <c r="Q59" s="80">
        <v>19590</v>
      </c>
      <c r="R59" s="80">
        <v>19580</v>
      </c>
      <c r="S59" s="80">
        <v>20040</v>
      </c>
      <c r="T59" s="80">
        <v>20300</v>
      </c>
      <c r="U59" s="80">
        <v>20750</v>
      </c>
      <c r="V59" s="80">
        <v>20830</v>
      </c>
      <c r="W59" s="80">
        <v>21730</v>
      </c>
      <c r="X59" s="80">
        <v>21340</v>
      </c>
      <c r="Y59" s="80">
        <v>20800</v>
      </c>
      <c r="Z59" s="80">
        <v>20200</v>
      </c>
      <c r="AA59" s="80">
        <v>19530</v>
      </c>
      <c r="AB59" s="80">
        <v>18710</v>
      </c>
      <c r="AC59" s="80">
        <v>18850</v>
      </c>
      <c r="AD59" s="80">
        <v>18660</v>
      </c>
      <c r="AE59" s="80">
        <v>19360</v>
      </c>
      <c r="AF59" s="80">
        <v>19470</v>
      </c>
      <c r="AG59" s="80">
        <v>19720</v>
      </c>
      <c r="AH59" s="80">
        <v>20350</v>
      </c>
      <c r="AI59" s="80">
        <v>20810</v>
      </c>
      <c r="AJ59" s="80">
        <v>21240</v>
      </c>
      <c r="AK59" s="80">
        <v>21940</v>
      </c>
      <c r="AL59" s="80">
        <v>22260</v>
      </c>
      <c r="AM59" s="80">
        <v>22970</v>
      </c>
      <c r="AN59" s="80">
        <v>24280</v>
      </c>
      <c r="AO59" s="80">
        <v>24830</v>
      </c>
      <c r="AP59" s="80">
        <v>26130</v>
      </c>
      <c r="AQ59" s="80">
        <v>27080</v>
      </c>
      <c r="AR59" s="80">
        <v>26710</v>
      </c>
      <c r="AS59" s="80">
        <v>26610</v>
      </c>
      <c r="AT59" s="80">
        <v>25900</v>
      </c>
      <c r="AU59" s="80">
        <v>25650</v>
      </c>
      <c r="AV59" s="80">
        <v>25050</v>
      </c>
      <c r="AW59" s="80">
        <v>24770</v>
      </c>
      <c r="AX59" s="80">
        <v>23980</v>
      </c>
      <c r="AY59" s="80">
        <v>23240</v>
      </c>
      <c r="AZ59" s="80">
        <v>23650</v>
      </c>
      <c r="BA59" s="80">
        <v>23170</v>
      </c>
      <c r="BB59" s="80">
        <v>22290</v>
      </c>
      <c r="BC59" s="80">
        <v>22080</v>
      </c>
      <c r="BD59" s="80">
        <v>22400</v>
      </c>
    </row>
    <row r="60" spans="3:56" x14ac:dyDescent="0.2">
      <c r="C60" s="28">
        <v>65</v>
      </c>
      <c r="E60" s="80">
        <v>12310</v>
      </c>
      <c r="F60" s="80">
        <v>12690</v>
      </c>
      <c r="G60" s="80">
        <v>13440</v>
      </c>
      <c r="H60" s="80">
        <v>13950</v>
      </c>
      <c r="I60" s="80">
        <v>14510</v>
      </c>
      <c r="J60" s="80">
        <v>15090</v>
      </c>
      <c r="K60" s="80">
        <v>15450</v>
      </c>
      <c r="L60" s="80">
        <v>16290</v>
      </c>
      <c r="M60" s="80">
        <v>16690</v>
      </c>
      <c r="N60" s="80">
        <v>17570</v>
      </c>
      <c r="O60" s="80">
        <v>18040</v>
      </c>
      <c r="P60" s="80">
        <v>18300</v>
      </c>
      <c r="Q60" s="80">
        <v>18060</v>
      </c>
      <c r="R60" s="80">
        <v>17550</v>
      </c>
      <c r="S60" s="80">
        <v>17540</v>
      </c>
      <c r="T60" s="80">
        <v>17960</v>
      </c>
      <c r="U60" s="80">
        <v>18200</v>
      </c>
      <c r="V60" s="80">
        <v>18610</v>
      </c>
      <c r="W60" s="80">
        <v>18680</v>
      </c>
      <c r="X60" s="80">
        <v>19500</v>
      </c>
      <c r="Y60" s="80">
        <v>19150</v>
      </c>
      <c r="Z60" s="80">
        <v>18670</v>
      </c>
      <c r="AA60" s="80">
        <v>18130</v>
      </c>
      <c r="AB60" s="80">
        <v>17530</v>
      </c>
      <c r="AC60" s="80">
        <v>16800</v>
      </c>
      <c r="AD60" s="80">
        <v>16930</v>
      </c>
      <c r="AE60" s="80">
        <v>16760</v>
      </c>
      <c r="AF60" s="80">
        <v>17390</v>
      </c>
      <c r="AG60" s="80">
        <v>17490</v>
      </c>
      <c r="AH60" s="80">
        <v>17710</v>
      </c>
      <c r="AI60" s="80">
        <v>18280</v>
      </c>
      <c r="AJ60" s="80">
        <v>18700</v>
      </c>
      <c r="AK60" s="80">
        <v>19090</v>
      </c>
      <c r="AL60" s="80">
        <v>19720</v>
      </c>
      <c r="AM60" s="80">
        <v>20000</v>
      </c>
      <c r="AN60" s="80">
        <v>20640</v>
      </c>
      <c r="AO60" s="80">
        <v>21810</v>
      </c>
      <c r="AP60" s="80">
        <v>22310</v>
      </c>
      <c r="AQ60" s="80">
        <v>23480</v>
      </c>
      <c r="AR60" s="80">
        <v>24330</v>
      </c>
      <c r="AS60" s="80">
        <v>24000</v>
      </c>
      <c r="AT60" s="80">
        <v>23910</v>
      </c>
      <c r="AU60" s="80">
        <v>23280</v>
      </c>
      <c r="AV60" s="80">
        <v>23050</v>
      </c>
      <c r="AW60" s="80">
        <v>22510</v>
      </c>
      <c r="AX60" s="80">
        <v>22270</v>
      </c>
      <c r="AY60" s="80">
        <v>21550</v>
      </c>
      <c r="AZ60" s="80">
        <v>20890</v>
      </c>
      <c r="BA60" s="80">
        <v>21260</v>
      </c>
      <c r="BB60" s="80">
        <v>20830</v>
      </c>
      <c r="BC60" s="80">
        <v>20040</v>
      </c>
      <c r="BD60" s="80">
        <v>19850</v>
      </c>
    </row>
    <row r="61" spans="3:56" x14ac:dyDescent="0.2">
      <c r="C61" s="28">
        <v>66</v>
      </c>
      <c r="E61" s="80">
        <v>10370</v>
      </c>
      <c r="F61" s="80">
        <v>10820</v>
      </c>
      <c r="G61" s="80">
        <v>11160</v>
      </c>
      <c r="H61" s="80">
        <v>11810</v>
      </c>
      <c r="I61" s="80">
        <v>12250</v>
      </c>
      <c r="J61" s="80">
        <v>12730</v>
      </c>
      <c r="K61" s="80">
        <v>13250</v>
      </c>
      <c r="L61" s="80">
        <v>13570</v>
      </c>
      <c r="M61" s="80">
        <v>14300</v>
      </c>
      <c r="N61" s="80">
        <v>14650</v>
      </c>
      <c r="O61" s="80">
        <v>15420</v>
      </c>
      <c r="P61" s="80">
        <v>15830</v>
      </c>
      <c r="Q61" s="80">
        <v>16060</v>
      </c>
      <c r="R61" s="80">
        <v>15850</v>
      </c>
      <c r="S61" s="80">
        <v>15400</v>
      </c>
      <c r="T61" s="80">
        <v>15400</v>
      </c>
      <c r="U61" s="80">
        <v>15760</v>
      </c>
      <c r="V61" s="80">
        <v>15980</v>
      </c>
      <c r="W61" s="80">
        <v>16330</v>
      </c>
      <c r="X61" s="80">
        <v>16400</v>
      </c>
      <c r="Y61" s="80">
        <v>17110</v>
      </c>
      <c r="Z61" s="80">
        <v>16800</v>
      </c>
      <c r="AA61" s="80">
        <v>16390</v>
      </c>
      <c r="AB61" s="80">
        <v>15910</v>
      </c>
      <c r="AC61" s="80">
        <v>15390</v>
      </c>
      <c r="AD61" s="80">
        <v>14740</v>
      </c>
      <c r="AE61" s="80">
        <v>14860</v>
      </c>
      <c r="AF61" s="80">
        <v>14710</v>
      </c>
      <c r="AG61" s="80">
        <v>15260</v>
      </c>
      <c r="AH61" s="80">
        <v>15350</v>
      </c>
      <c r="AI61" s="80">
        <v>15550</v>
      </c>
      <c r="AJ61" s="80">
        <v>16040</v>
      </c>
      <c r="AK61" s="80">
        <v>16410</v>
      </c>
      <c r="AL61" s="80">
        <v>16750</v>
      </c>
      <c r="AM61" s="80">
        <v>17300</v>
      </c>
      <c r="AN61" s="80">
        <v>17550</v>
      </c>
      <c r="AO61" s="80">
        <v>18110</v>
      </c>
      <c r="AP61" s="80">
        <v>19140</v>
      </c>
      <c r="AQ61" s="80">
        <v>19580</v>
      </c>
      <c r="AR61" s="80">
        <v>20600</v>
      </c>
      <c r="AS61" s="80">
        <v>21340</v>
      </c>
      <c r="AT61" s="80">
        <v>21060</v>
      </c>
      <c r="AU61" s="80">
        <v>20980</v>
      </c>
      <c r="AV61" s="80">
        <v>20430</v>
      </c>
      <c r="AW61" s="80">
        <v>20230</v>
      </c>
      <c r="AX61" s="80">
        <v>19750</v>
      </c>
      <c r="AY61" s="80">
        <v>19540</v>
      </c>
      <c r="AZ61" s="80">
        <v>18920</v>
      </c>
      <c r="BA61" s="80">
        <v>18340</v>
      </c>
      <c r="BB61" s="80">
        <v>18660</v>
      </c>
      <c r="BC61" s="80">
        <v>18280</v>
      </c>
      <c r="BD61" s="80">
        <v>17600</v>
      </c>
    </row>
    <row r="62" spans="3:56" x14ac:dyDescent="0.2">
      <c r="C62" s="28">
        <v>67</v>
      </c>
      <c r="E62" s="80">
        <v>8850</v>
      </c>
      <c r="F62" s="80">
        <v>8970</v>
      </c>
      <c r="G62" s="80">
        <v>9360</v>
      </c>
      <c r="H62" s="80">
        <v>9650</v>
      </c>
      <c r="I62" s="80">
        <v>10210</v>
      </c>
      <c r="J62" s="80">
        <v>10590</v>
      </c>
      <c r="K62" s="80">
        <v>11010</v>
      </c>
      <c r="L62" s="80">
        <v>11450</v>
      </c>
      <c r="M62" s="80">
        <v>11720</v>
      </c>
      <c r="N62" s="80">
        <v>12360</v>
      </c>
      <c r="O62" s="80">
        <v>12660</v>
      </c>
      <c r="P62" s="80">
        <v>13330</v>
      </c>
      <c r="Q62" s="80">
        <v>13680</v>
      </c>
      <c r="R62" s="80">
        <v>13880</v>
      </c>
      <c r="S62" s="80">
        <v>13700</v>
      </c>
      <c r="T62" s="80">
        <v>13320</v>
      </c>
      <c r="U62" s="80">
        <v>13310</v>
      </c>
      <c r="V62" s="80">
        <v>13630</v>
      </c>
      <c r="W62" s="80">
        <v>13810</v>
      </c>
      <c r="X62" s="80">
        <v>14120</v>
      </c>
      <c r="Y62" s="80">
        <v>14180</v>
      </c>
      <c r="Z62" s="80">
        <v>14790</v>
      </c>
      <c r="AA62" s="80">
        <v>14530</v>
      </c>
      <c r="AB62" s="80">
        <v>14170</v>
      </c>
      <c r="AC62" s="80">
        <v>13760</v>
      </c>
      <c r="AD62" s="80">
        <v>13310</v>
      </c>
      <c r="AE62" s="80">
        <v>12750</v>
      </c>
      <c r="AF62" s="80">
        <v>12850</v>
      </c>
      <c r="AG62" s="80">
        <v>12720</v>
      </c>
      <c r="AH62" s="80">
        <v>13200</v>
      </c>
      <c r="AI62" s="80">
        <v>13270</v>
      </c>
      <c r="AJ62" s="80">
        <v>13440</v>
      </c>
      <c r="AK62" s="80">
        <v>13870</v>
      </c>
      <c r="AL62" s="80">
        <v>14190</v>
      </c>
      <c r="AM62" s="80">
        <v>14480</v>
      </c>
      <c r="AN62" s="80">
        <v>14960</v>
      </c>
      <c r="AO62" s="80">
        <v>15180</v>
      </c>
      <c r="AP62" s="80">
        <v>15660</v>
      </c>
      <c r="AQ62" s="80">
        <v>16550</v>
      </c>
      <c r="AR62" s="80">
        <v>16930</v>
      </c>
      <c r="AS62" s="80">
        <v>17810</v>
      </c>
      <c r="AT62" s="80">
        <v>18460</v>
      </c>
      <c r="AU62" s="80">
        <v>18210</v>
      </c>
      <c r="AV62" s="80">
        <v>18140</v>
      </c>
      <c r="AW62" s="80">
        <v>17670</v>
      </c>
      <c r="AX62" s="80">
        <v>17500</v>
      </c>
      <c r="AY62" s="80">
        <v>17090</v>
      </c>
      <c r="AZ62" s="80">
        <v>16900</v>
      </c>
      <c r="BA62" s="80">
        <v>16360</v>
      </c>
      <c r="BB62" s="80">
        <v>15870</v>
      </c>
      <c r="BC62" s="80">
        <v>16140</v>
      </c>
      <c r="BD62" s="80">
        <v>15820</v>
      </c>
    </row>
    <row r="63" spans="3:56" x14ac:dyDescent="0.2">
      <c r="C63" s="28">
        <v>68</v>
      </c>
      <c r="E63" s="80">
        <v>7260</v>
      </c>
      <c r="F63" s="80">
        <v>7580</v>
      </c>
      <c r="G63" s="80">
        <v>7690</v>
      </c>
      <c r="H63" s="80">
        <v>8030</v>
      </c>
      <c r="I63" s="80">
        <v>8280</v>
      </c>
      <c r="J63" s="80">
        <v>8770</v>
      </c>
      <c r="K63" s="80">
        <v>9100</v>
      </c>
      <c r="L63" s="80">
        <v>9470</v>
      </c>
      <c r="M63" s="80">
        <v>9860</v>
      </c>
      <c r="N63" s="80">
        <v>10100</v>
      </c>
      <c r="O63" s="80">
        <v>10650</v>
      </c>
      <c r="P63" s="80">
        <v>10920</v>
      </c>
      <c r="Q63" s="80">
        <v>11510</v>
      </c>
      <c r="R63" s="80">
        <v>11810</v>
      </c>
      <c r="S63" s="80">
        <v>11990</v>
      </c>
      <c r="T63" s="80">
        <v>11840</v>
      </c>
      <c r="U63" s="80">
        <v>11510</v>
      </c>
      <c r="V63" s="80">
        <v>11510</v>
      </c>
      <c r="W63" s="80">
        <v>11790</v>
      </c>
      <c r="X63" s="80">
        <v>11950</v>
      </c>
      <c r="Y63" s="80">
        <v>12220</v>
      </c>
      <c r="Z63" s="80">
        <v>12270</v>
      </c>
      <c r="AA63" s="80">
        <v>12800</v>
      </c>
      <c r="AB63" s="80">
        <v>12580</v>
      </c>
      <c r="AC63" s="80">
        <v>12270</v>
      </c>
      <c r="AD63" s="80">
        <v>11910</v>
      </c>
      <c r="AE63" s="80">
        <v>11520</v>
      </c>
      <c r="AF63" s="80">
        <v>11040</v>
      </c>
      <c r="AG63" s="80">
        <v>11130</v>
      </c>
      <c r="AH63" s="80">
        <v>11020</v>
      </c>
      <c r="AI63" s="80">
        <v>11430</v>
      </c>
      <c r="AJ63" s="80">
        <v>11500</v>
      </c>
      <c r="AK63" s="80">
        <v>11650</v>
      </c>
      <c r="AL63" s="80">
        <v>12020</v>
      </c>
      <c r="AM63" s="80">
        <v>12300</v>
      </c>
      <c r="AN63" s="80">
        <v>12550</v>
      </c>
      <c r="AO63" s="80">
        <v>12960</v>
      </c>
      <c r="AP63" s="80">
        <v>13150</v>
      </c>
      <c r="AQ63" s="80">
        <v>13570</v>
      </c>
      <c r="AR63" s="80">
        <v>14340</v>
      </c>
      <c r="AS63" s="80">
        <v>14670</v>
      </c>
      <c r="AT63" s="80">
        <v>15440</v>
      </c>
      <c r="AU63" s="80">
        <v>16000</v>
      </c>
      <c r="AV63" s="80">
        <v>15780</v>
      </c>
      <c r="AW63" s="80">
        <v>15730</v>
      </c>
      <c r="AX63" s="80">
        <v>15310</v>
      </c>
      <c r="AY63" s="80">
        <v>15170</v>
      </c>
      <c r="AZ63" s="80">
        <v>14810</v>
      </c>
      <c r="BA63" s="80">
        <v>14660</v>
      </c>
      <c r="BB63" s="80">
        <v>14190</v>
      </c>
      <c r="BC63" s="80">
        <v>13760</v>
      </c>
      <c r="BD63" s="80">
        <v>14000</v>
      </c>
    </row>
    <row r="64" spans="3:56" x14ac:dyDescent="0.2">
      <c r="C64" s="28">
        <v>69</v>
      </c>
      <c r="E64" s="80">
        <v>6200</v>
      </c>
      <c r="F64" s="80">
        <v>6260</v>
      </c>
      <c r="G64" s="80">
        <v>6530</v>
      </c>
      <c r="H64" s="80">
        <v>6620</v>
      </c>
      <c r="I64" s="80">
        <v>6910</v>
      </c>
      <c r="J64" s="80">
        <v>7120</v>
      </c>
      <c r="K64" s="80">
        <v>7530</v>
      </c>
      <c r="L64" s="80">
        <v>7820</v>
      </c>
      <c r="M64" s="80">
        <v>8130</v>
      </c>
      <c r="N64" s="80">
        <v>8460</v>
      </c>
      <c r="O64" s="80">
        <v>8670</v>
      </c>
      <c r="P64" s="80">
        <v>9140</v>
      </c>
      <c r="Q64" s="80">
        <v>9370</v>
      </c>
      <c r="R64" s="80">
        <v>9870</v>
      </c>
      <c r="S64" s="80">
        <v>10130</v>
      </c>
      <c r="T64" s="80">
        <v>10280</v>
      </c>
      <c r="U64" s="80">
        <v>10150</v>
      </c>
      <c r="V64" s="80">
        <v>9860</v>
      </c>
      <c r="W64" s="80">
        <v>9860</v>
      </c>
      <c r="X64" s="80">
        <v>10100</v>
      </c>
      <c r="Y64" s="80">
        <v>10240</v>
      </c>
      <c r="Z64" s="80">
        <v>10470</v>
      </c>
      <c r="AA64" s="80">
        <v>10510</v>
      </c>
      <c r="AB64" s="80">
        <v>10970</v>
      </c>
      <c r="AC64" s="80">
        <v>10770</v>
      </c>
      <c r="AD64" s="80">
        <v>10500</v>
      </c>
      <c r="AE64" s="80">
        <v>10200</v>
      </c>
      <c r="AF64" s="80">
        <v>9870</v>
      </c>
      <c r="AG64" s="80">
        <v>9460</v>
      </c>
      <c r="AH64" s="80">
        <v>9530</v>
      </c>
      <c r="AI64" s="80">
        <v>9440</v>
      </c>
      <c r="AJ64" s="80">
        <v>9790</v>
      </c>
      <c r="AK64" s="80">
        <v>9850</v>
      </c>
      <c r="AL64" s="80">
        <v>9970</v>
      </c>
      <c r="AM64" s="80">
        <v>10290</v>
      </c>
      <c r="AN64" s="80">
        <v>10530</v>
      </c>
      <c r="AO64" s="80">
        <v>10740</v>
      </c>
      <c r="AP64" s="80">
        <v>11100</v>
      </c>
      <c r="AQ64" s="80">
        <v>11260</v>
      </c>
      <c r="AR64" s="80">
        <v>11620</v>
      </c>
      <c r="AS64" s="80">
        <v>12280</v>
      </c>
      <c r="AT64" s="80">
        <v>12560</v>
      </c>
      <c r="AU64" s="80">
        <v>13220</v>
      </c>
      <c r="AV64" s="80">
        <v>13700</v>
      </c>
      <c r="AW64" s="80">
        <v>13510</v>
      </c>
      <c r="AX64" s="80">
        <v>13470</v>
      </c>
      <c r="AY64" s="80">
        <v>13120</v>
      </c>
      <c r="AZ64" s="80">
        <v>12990</v>
      </c>
      <c r="BA64" s="80">
        <v>12690</v>
      </c>
      <c r="BB64" s="80">
        <v>12550</v>
      </c>
      <c r="BC64" s="80">
        <v>12160</v>
      </c>
      <c r="BD64" s="80">
        <v>11790</v>
      </c>
    </row>
    <row r="65" spans="1:56" x14ac:dyDescent="0.2">
      <c r="C65" s="28">
        <v>70</v>
      </c>
      <c r="E65" s="80">
        <v>5180</v>
      </c>
      <c r="F65" s="80">
        <v>5280</v>
      </c>
      <c r="G65" s="80">
        <v>5310</v>
      </c>
      <c r="H65" s="80">
        <v>5530</v>
      </c>
      <c r="I65" s="80">
        <v>5590</v>
      </c>
      <c r="J65" s="80">
        <v>5820</v>
      </c>
      <c r="K65" s="80">
        <v>5990</v>
      </c>
      <c r="L65" s="80">
        <v>6330</v>
      </c>
      <c r="M65" s="80">
        <v>6560</v>
      </c>
      <c r="N65" s="80">
        <v>6810</v>
      </c>
      <c r="O65" s="80">
        <v>7080</v>
      </c>
      <c r="P65" s="80">
        <v>7250</v>
      </c>
      <c r="Q65" s="80">
        <v>7630</v>
      </c>
      <c r="R65" s="80">
        <v>7820</v>
      </c>
      <c r="S65" s="80">
        <v>8230</v>
      </c>
      <c r="T65" s="80">
        <v>8440</v>
      </c>
      <c r="U65" s="80">
        <v>8560</v>
      </c>
      <c r="V65" s="80">
        <v>8440</v>
      </c>
      <c r="W65" s="80">
        <v>8200</v>
      </c>
      <c r="X65" s="80">
        <v>8200</v>
      </c>
      <c r="Y65" s="80">
        <v>8390</v>
      </c>
      <c r="Z65" s="80">
        <v>8500</v>
      </c>
      <c r="AA65" s="80">
        <v>8690</v>
      </c>
      <c r="AB65" s="80">
        <v>8720</v>
      </c>
      <c r="AC65" s="80">
        <v>9100</v>
      </c>
      <c r="AD65" s="80">
        <v>8930</v>
      </c>
      <c r="AE65" s="80">
        <v>8710</v>
      </c>
      <c r="AF65" s="80">
        <v>8460</v>
      </c>
      <c r="AG65" s="80">
        <v>8180</v>
      </c>
      <c r="AH65" s="80">
        <v>7840</v>
      </c>
      <c r="AI65" s="80">
        <v>7900</v>
      </c>
      <c r="AJ65" s="80">
        <v>7820</v>
      </c>
      <c r="AK65" s="80">
        <v>8110</v>
      </c>
      <c r="AL65" s="80">
        <v>8160</v>
      </c>
      <c r="AM65" s="80">
        <v>8260</v>
      </c>
      <c r="AN65" s="80">
        <v>8530</v>
      </c>
      <c r="AO65" s="80">
        <v>8720</v>
      </c>
      <c r="AP65" s="80">
        <v>8900</v>
      </c>
      <c r="AQ65" s="80">
        <v>9190</v>
      </c>
      <c r="AR65" s="80">
        <v>9330</v>
      </c>
      <c r="AS65" s="80">
        <v>9630</v>
      </c>
      <c r="AT65" s="80">
        <v>10170</v>
      </c>
      <c r="AU65" s="80">
        <v>10410</v>
      </c>
      <c r="AV65" s="80">
        <v>10950</v>
      </c>
      <c r="AW65" s="80">
        <v>11350</v>
      </c>
      <c r="AX65" s="80">
        <v>11200</v>
      </c>
      <c r="AY65" s="80">
        <v>11160</v>
      </c>
      <c r="AZ65" s="80">
        <v>10870</v>
      </c>
      <c r="BA65" s="80">
        <v>10770</v>
      </c>
      <c r="BB65" s="80">
        <v>10520</v>
      </c>
      <c r="BC65" s="80">
        <v>10410</v>
      </c>
      <c r="BD65" s="80">
        <v>10080</v>
      </c>
    </row>
    <row r="66" spans="1:56" x14ac:dyDescent="0.2">
      <c r="C66" s="28">
        <v>71</v>
      </c>
      <c r="E66" s="80">
        <v>3640</v>
      </c>
      <c r="F66" s="80">
        <v>4370</v>
      </c>
      <c r="G66" s="80">
        <v>4440</v>
      </c>
      <c r="H66" s="80">
        <v>4460</v>
      </c>
      <c r="I66" s="80">
        <v>4630</v>
      </c>
      <c r="J66" s="80">
        <v>4680</v>
      </c>
      <c r="K66" s="80">
        <v>4860</v>
      </c>
      <c r="L66" s="80">
        <v>5000</v>
      </c>
      <c r="M66" s="80">
        <v>5270</v>
      </c>
      <c r="N66" s="80">
        <v>5460</v>
      </c>
      <c r="O66" s="80">
        <v>5670</v>
      </c>
      <c r="P66" s="80">
        <v>5880</v>
      </c>
      <c r="Q66" s="80">
        <v>6020</v>
      </c>
      <c r="R66" s="80">
        <v>6330</v>
      </c>
      <c r="S66" s="80">
        <v>6480</v>
      </c>
      <c r="T66" s="80">
        <v>6820</v>
      </c>
      <c r="U66" s="80">
        <v>6990</v>
      </c>
      <c r="V66" s="80">
        <v>7080</v>
      </c>
      <c r="W66" s="80">
        <v>6980</v>
      </c>
      <c r="X66" s="80">
        <v>6780</v>
      </c>
      <c r="Y66" s="80">
        <v>6780</v>
      </c>
      <c r="Z66" s="80">
        <v>6930</v>
      </c>
      <c r="AA66" s="80">
        <v>7020</v>
      </c>
      <c r="AB66" s="80">
        <v>7180</v>
      </c>
      <c r="AC66" s="80">
        <v>7200</v>
      </c>
      <c r="AD66" s="80">
        <v>7510</v>
      </c>
      <c r="AE66" s="80">
        <v>7370</v>
      </c>
      <c r="AF66" s="80">
        <v>7190</v>
      </c>
      <c r="AG66" s="80">
        <v>6980</v>
      </c>
      <c r="AH66" s="80">
        <v>6750</v>
      </c>
      <c r="AI66" s="80">
        <v>6470</v>
      </c>
      <c r="AJ66" s="80">
        <v>6520</v>
      </c>
      <c r="AK66" s="80">
        <v>6450</v>
      </c>
      <c r="AL66" s="80">
        <v>6690</v>
      </c>
      <c r="AM66" s="80">
        <v>6730</v>
      </c>
      <c r="AN66" s="80">
        <v>6820</v>
      </c>
      <c r="AO66" s="80">
        <v>7030</v>
      </c>
      <c r="AP66" s="80">
        <v>7190</v>
      </c>
      <c r="AQ66" s="80">
        <v>7340</v>
      </c>
      <c r="AR66" s="80">
        <v>7580</v>
      </c>
      <c r="AS66" s="80">
        <v>7700</v>
      </c>
      <c r="AT66" s="80">
        <v>7940</v>
      </c>
      <c r="AU66" s="80">
        <v>8390</v>
      </c>
      <c r="AV66" s="80">
        <v>8590</v>
      </c>
      <c r="AW66" s="80">
        <v>9040</v>
      </c>
      <c r="AX66" s="80">
        <v>9360</v>
      </c>
      <c r="AY66" s="80">
        <v>9240</v>
      </c>
      <c r="AZ66" s="80">
        <v>9210</v>
      </c>
      <c r="BA66" s="80">
        <v>8970</v>
      </c>
      <c r="BB66" s="80">
        <v>8890</v>
      </c>
      <c r="BC66" s="80">
        <v>8680</v>
      </c>
      <c r="BD66" s="80">
        <v>8590</v>
      </c>
    </row>
    <row r="67" spans="1:56" x14ac:dyDescent="0.2">
      <c r="C67" s="28">
        <v>72</v>
      </c>
      <c r="E67" s="80">
        <v>2890</v>
      </c>
      <c r="F67" s="80">
        <v>3090</v>
      </c>
      <c r="G67" s="80">
        <v>3710</v>
      </c>
      <c r="H67" s="80">
        <v>3770</v>
      </c>
      <c r="I67" s="80">
        <v>3790</v>
      </c>
      <c r="J67" s="80">
        <v>3940</v>
      </c>
      <c r="K67" s="80">
        <v>3970</v>
      </c>
      <c r="L67" s="80">
        <v>4130</v>
      </c>
      <c r="M67" s="80">
        <v>4250</v>
      </c>
      <c r="N67" s="80">
        <v>4480</v>
      </c>
      <c r="O67" s="80">
        <v>4640</v>
      </c>
      <c r="P67" s="80">
        <v>4820</v>
      </c>
      <c r="Q67" s="80">
        <v>5000</v>
      </c>
      <c r="R67" s="80">
        <v>5120</v>
      </c>
      <c r="S67" s="80">
        <v>5390</v>
      </c>
      <c r="T67" s="80">
        <v>5510</v>
      </c>
      <c r="U67" s="80">
        <v>5800</v>
      </c>
      <c r="V67" s="80">
        <v>5940</v>
      </c>
      <c r="W67" s="80">
        <v>6030</v>
      </c>
      <c r="X67" s="80">
        <v>5940</v>
      </c>
      <c r="Y67" s="80">
        <v>5770</v>
      </c>
      <c r="Z67" s="80">
        <v>5770</v>
      </c>
      <c r="AA67" s="80">
        <v>5900</v>
      </c>
      <c r="AB67" s="80">
        <v>5980</v>
      </c>
      <c r="AC67" s="80">
        <v>6110</v>
      </c>
      <c r="AD67" s="80">
        <v>6130</v>
      </c>
      <c r="AE67" s="80">
        <v>6390</v>
      </c>
      <c r="AF67" s="80">
        <v>6280</v>
      </c>
      <c r="AG67" s="80">
        <v>6120</v>
      </c>
      <c r="AH67" s="80">
        <v>5940</v>
      </c>
      <c r="AI67" s="80">
        <v>5750</v>
      </c>
      <c r="AJ67" s="80">
        <v>5510</v>
      </c>
      <c r="AK67" s="80">
        <v>5550</v>
      </c>
      <c r="AL67" s="80">
        <v>5490</v>
      </c>
      <c r="AM67" s="80">
        <v>5700</v>
      </c>
      <c r="AN67" s="80">
        <v>5730</v>
      </c>
      <c r="AO67" s="80">
        <v>5800</v>
      </c>
      <c r="AP67" s="80">
        <v>5990</v>
      </c>
      <c r="AQ67" s="80">
        <v>6130</v>
      </c>
      <c r="AR67" s="80">
        <v>6250</v>
      </c>
      <c r="AS67" s="80">
        <v>6460</v>
      </c>
      <c r="AT67" s="80">
        <v>6560</v>
      </c>
      <c r="AU67" s="80">
        <v>6770</v>
      </c>
      <c r="AV67" s="80">
        <v>7150</v>
      </c>
      <c r="AW67" s="80">
        <v>7320</v>
      </c>
      <c r="AX67" s="80">
        <v>7700</v>
      </c>
      <c r="AY67" s="80">
        <v>7980</v>
      </c>
      <c r="AZ67" s="80">
        <v>7880</v>
      </c>
      <c r="BA67" s="80">
        <v>7850</v>
      </c>
      <c r="BB67" s="80">
        <v>7650</v>
      </c>
      <c r="BC67" s="80">
        <v>7580</v>
      </c>
      <c r="BD67" s="80">
        <v>7400</v>
      </c>
    </row>
    <row r="68" spans="1:56" x14ac:dyDescent="0.2">
      <c r="C68" s="28">
        <v>73</v>
      </c>
      <c r="E68" s="80">
        <v>2290</v>
      </c>
      <c r="F68" s="80">
        <v>2480</v>
      </c>
      <c r="G68" s="80">
        <v>2660</v>
      </c>
      <c r="H68" s="80">
        <v>3190</v>
      </c>
      <c r="I68" s="80">
        <v>3250</v>
      </c>
      <c r="J68" s="80">
        <v>3270</v>
      </c>
      <c r="K68" s="80">
        <v>3400</v>
      </c>
      <c r="L68" s="80">
        <v>3430</v>
      </c>
      <c r="M68" s="80">
        <v>3570</v>
      </c>
      <c r="N68" s="80">
        <v>3680</v>
      </c>
      <c r="O68" s="80">
        <v>3880</v>
      </c>
      <c r="P68" s="80">
        <v>4020</v>
      </c>
      <c r="Q68" s="80">
        <v>4170</v>
      </c>
      <c r="R68" s="80">
        <v>4340</v>
      </c>
      <c r="S68" s="80">
        <v>4440</v>
      </c>
      <c r="T68" s="80">
        <v>4670</v>
      </c>
      <c r="U68" s="80">
        <v>4780</v>
      </c>
      <c r="V68" s="80">
        <v>5030</v>
      </c>
      <c r="W68" s="80">
        <v>5160</v>
      </c>
      <c r="X68" s="80">
        <v>5230</v>
      </c>
      <c r="Y68" s="80">
        <v>5160</v>
      </c>
      <c r="Z68" s="80">
        <v>5020</v>
      </c>
      <c r="AA68" s="80">
        <v>5010</v>
      </c>
      <c r="AB68" s="80">
        <v>5130</v>
      </c>
      <c r="AC68" s="80">
        <v>5200</v>
      </c>
      <c r="AD68" s="80">
        <v>5310</v>
      </c>
      <c r="AE68" s="80">
        <v>5330</v>
      </c>
      <c r="AF68" s="80">
        <v>5560</v>
      </c>
      <c r="AG68" s="80">
        <v>5460</v>
      </c>
      <c r="AH68" s="80">
        <v>5320</v>
      </c>
      <c r="AI68" s="80">
        <v>5170</v>
      </c>
      <c r="AJ68" s="80">
        <v>5000</v>
      </c>
      <c r="AK68" s="80">
        <v>4790</v>
      </c>
      <c r="AL68" s="80">
        <v>4830</v>
      </c>
      <c r="AM68" s="80">
        <v>4780</v>
      </c>
      <c r="AN68" s="80">
        <v>4960</v>
      </c>
      <c r="AO68" s="80">
        <v>4990</v>
      </c>
      <c r="AP68" s="80">
        <v>5050</v>
      </c>
      <c r="AQ68" s="80">
        <v>5220</v>
      </c>
      <c r="AR68" s="80">
        <v>5340</v>
      </c>
      <c r="AS68" s="80">
        <v>5450</v>
      </c>
      <c r="AT68" s="80">
        <v>5630</v>
      </c>
      <c r="AU68" s="80">
        <v>5710</v>
      </c>
      <c r="AV68" s="80">
        <v>5890</v>
      </c>
      <c r="AW68" s="80">
        <v>6230</v>
      </c>
      <c r="AX68" s="80">
        <v>6370</v>
      </c>
      <c r="AY68" s="80">
        <v>6710</v>
      </c>
      <c r="AZ68" s="80">
        <v>6950</v>
      </c>
      <c r="BA68" s="80">
        <v>6860</v>
      </c>
      <c r="BB68" s="80">
        <v>6840</v>
      </c>
      <c r="BC68" s="80">
        <v>6670</v>
      </c>
      <c r="BD68" s="80">
        <v>6600</v>
      </c>
    </row>
    <row r="69" spans="1:56" x14ac:dyDescent="0.2">
      <c r="C69" s="28">
        <v>74</v>
      </c>
      <c r="E69" s="80">
        <v>1710</v>
      </c>
      <c r="F69" s="80">
        <v>1940</v>
      </c>
      <c r="G69" s="80">
        <v>2110</v>
      </c>
      <c r="H69" s="80">
        <v>2260</v>
      </c>
      <c r="I69" s="80">
        <v>2720</v>
      </c>
      <c r="J69" s="80">
        <v>2770</v>
      </c>
      <c r="K69" s="80">
        <v>2790</v>
      </c>
      <c r="L69" s="80">
        <v>2900</v>
      </c>
      <c r="M69" s="80">
        <v>2930</v>
      </c>
      <c r="N69" s="80">
        <v>3050</v>
      </c>
      <c r="O69" s="80">
        <v>3140</v>
      </c>
      <c r="P69" s="80">
        <v>3320</v>
      </c>
      <c r="Q69" s="80">
        <v>3440</v>
      </c>
      <c r="R69" s="80">
        <v>3570</v>
      </c>
      <c r="S69" s="80">
        <v>3710</v>
      </c>
      <c r="T69" s="80">
        <v>3800</v>
      </c>
      <c r="U69" s="80">
        <v>4000</v>
      </c>
      <c r="V69" s="80">
        <v>4100</v>
      </c>
      <c r="W69" s="80">
        <v>4310</v>
      </c>
      <c r="X69" s="80">
        <v>4420</v>
      </c>
      <c r="Y69" s="80">
        <v>4490</v>
      </c>
      <c r="Z69" s="80">
        <v>4420</v>
      </c>
      <c r="AA69" s="80">
        <v>4300</v>
      </c>
      <c r="AB69" s="80">
        <v>4300</v>
      </c>
      <c r="AC69" s="80">
        <v>4400</v>
      </c>
      <c r="AD69" s="80">
        <v>4460</v>
      </c>
      <c r="AE69" s="80">
        <v>4560</v>
      </c>
      <c r="AF69" s="80">
        <v>4570</v>
      </c>
      <c r="AG69" s="80">
        <v>4770</v>
      </c>
      <c r="AH69" s="80">
        <v>4690</v>
      </c>
      <c r="AI69" s="80">
        <v>4570</v>
      </c>
      <c r="AJ69" s="80">
        <v>4440</v>
      </c>
      <c r="AK69" s="80">
        <v>4290</v>
      </c>
      <c r="AL69" s="80">
        <v>4110</v>
      </c>
      <c r="AM69" s="80">
        <v>4150</v>
      </c>
      <c r="AN69" s="80">
        <v>4110</v>
      </c>
      <c r="AO69" s="80">
        <v>4260</v>
      </c>
      <c r="AP69" s="80">
        <v>4290</v>
      </c>
      <c r="AQ69" s="80">
        <v>4340</v>
      </c>
      <c r="AR69" s="80">
        <v>4480</v>
      </c>
      <c r="AS69" s="80">
        <v>4590</v>
      </c>
      <c r="AT69" s="80">
        <v>4680</v>
      </c>
      <c r="AU69" s="80">
        <v>4840</v>
      </c>
      <c r="AV69" s="80">
        <v>4910</v>
      </c>
      <c r="AW69" s="80">
        <v>5070</v>
      </c>
      <c r="AX69" s="80">
        <v>5360</v>
      </c>
      <c r="AY69" s="80">
        <v>5480</v>
      </c>
      <c r="AZ69" s="80">
        <v>5770</v>
      </c>
      <c r="BA69" s="80">
        <v>5980</v>
      </c>
      <c r="BB69" s="80">
        <v>5900</v>
      </c>
      <c r="BC69" s="80">
        <v>5880</v>
      </c>
      <c r="BD69" s="80">
        <v>5730</v>
      </c>
    </row>
    <row r="70" spans="1:56" x14ac:dyDescent="0.2">
      <c r="C70" s="28">
        <v>75</v>
      </c>
      <c r="E70" s="80">
        <v>1590</v>
      </c>
      <c r="F70" s="80">
        <v>1470</v>
      </c>
      <c r="G70" s="80">
        <v>1680</v>
      </c>
      <c r="H70" s="80">
        <v>1820</v>
      </c>
      <c r="I70" s="80">
        <v>1950</v>
      </c>
      <c r="J70" s="80">
        <v>2350</v>
      </c>
      <c r="K70" s="80">
        <v>2390</v>
      </c>
      <c r="L70" s="80">
        <v>2410</v>
      </c>
      <c r="M70" s="80">
        <v>2500</v>
      </c>
      <c r="N70" s="80">
        <v>2530</v>
      </c>
      <c r="O70" s="80">
        <v>2630</v>
      </c>
      <c r="P70" s="80">
        <v>2710</v>
      </c>
      <c r="Q70" s="80">
        <v>2860</v>
      </c>
      <c r="R70" s="80">
        <v>2970</v>
      </c>
      <c r="S70" s="80">
        <v>3080</v>
      </c>
      <c r="T70" s="80">
        <v>3200</v>
      </c>
      <c r="U70" s="80">
        <v>3280</v>
      </c>
      <c r="V70" s="80">
        <v>3450</v>
      </c>
      <c r="W70" s="80">
        <v>3540</v>
      </c>
      <c r="X70" s="80">
        <v>3720</v>
      </c>
      <c r="Y70" s="80">
        <v>3820</v>
      </c>
      <c r="Z70" s="80">
        <v>3870</v>
      </c>
      <c r="AA70" s="80">
        <v>3820</v>
      </c>
      <c r="AB70" s="80">
        <v>3710</v>
      </c>
      <c r="AC70" s="80">
        <v>3710</v>
      </c>
      <c r="AD70" s="80">
        <v>3800</v>
      </c>
      <c r="AE70" s="80">
        <v>3850</v>
      </c>
      <c r="AF70" s="80">
        <v>3940</v>
      </c>
      <c r="AG70" s="80">
        <v>3950</v>
      </c>
      <c r="AH70" s="80">
        <v>4120</v>
      </c>
      <c r="AI70" s="80">
        <v>4050</v>
      </c>
      <c r="AJ70" s="80">
        <v>3950</v>
      </c>
      <c r="AK70" s="80">
        <v>3840</v>
      </c>
      <c r="AL70" s="80">
        <v>3710</v>
      </c>
      <c r="AM70" s="80">
        <v>3560</v>
      </c>
      <c r="AN70" s="80">
        <v>3590</v>
      </c>
      <c r="AO70" s="80">
        <v>3550</v>
      </c>
      <c r="AP70" s="80">
        <v>3680</v>
      </c>
      <c r="AQ70" s="80">
        <v>3710</v>
      </c>
      <c r="AR70" s="80">
        <v>3750</v>
      </c>
      <c r="AS70" s="80">
        <v>3870</v>
      </c>
      <c r="AT70" s="80">
        <v>3970</v>
      </c>
      <c r="AU70" s="80">
        <v>4050</v>
      </c>
      <c r="AV70" s="80">
        <v>4180</v>
      </c>
      <c r="AW70" s="80">
        <v>4250</v>
      </c>
      <c r="AX70" s="80">
        <v>4380</v>
      </c>
      <c r="AY70" s="80">
        <v>4630</v>
      </c>
      <c r="AZ70" s="80">
        <v>4740</v>
      </c>
      <c r="BA70" s="80">
        <v>4990</v>
      </c>
      <c r="BB70" s="80">
        <v>5180</v>
      </c>
      <c r="BC70" s="80">
        <v>5110</v>
      </c>
      <c r="BD70" s="80">
        <v>5100</v>
      </c>
    </row>
    <row r="71" spans="1:56" x14ac:dyDescent="0.2">
      <c r="C71" s="28">
        <v>76</v>
      </c>
      <c r="E71" s="80">
        <v>1350</v>
      </c>
      <c r="F71" s="80">
        <v>1420</v>
      </c>
      <c r="G71" s="80">
        <v>1310</v>
      </c>
      <c r="H71" s="80">
        <v>1500</v>
      </c>
      <c r="I71" s="80">
        <v>1630</v>
      </c>
      <c r="J71" s="80">
        <v>1740</v>
      </c>
      <c r="K71" s="80">
        <v>2090</v>
      </c>
      <c r="L71" s="80">
        <v>2130</v>
      </c>
      <c r="M71" s="80">
        <v>2150</v>
      </c>
      <c r="N71" s="80">
        <v>2230</v>
      </c>
      <c r="O71" s="80">
        <v>2260</v>
      </c>
      <c r="P71" s="80">
        <v>2350</v>
      </c>
      <c r="Q71" s="80">
        <v>2420</v>
      </c>
      <c r="R71" s="80">
        <v>2560</v>
      </c>
      <c r="S71" s="80">
        <v>2650</v>
      </c>
      <c r="T71" s="80">
        <v>2750</v>
      </c>
      <c r="U71" s="80">
        <v>2860</v>
      </c>
      <c r="V71" s="80">
        <v>2930</v>
      </c>
      <c r="W71" s="80">
        <v>3080</v>
      </c>
      <c r="X71" s="80">
        <v>3160</v>
      </c>
      <c r="Y71" s="80">
        <v>3320</v>
      </c>
      <c r="Z71" s="80">
        <v>3410</v>
      </c>
      <c r="AA71" s="80">
        <v>3460</v>
      </c>
      <c r="AB71" s="80">
        <v>3410</v>
      </c>
      <c r="AC71" s="80">
        <v>3320</v>
      </c>
      <c r="AD71" s="80">
        <v>3320</v>
      </c>
      <c r="AE71" s="80">
        <v>3390</v>
      </c>
      <c r="AF71" s="80">
        <v>3440</v>
      </c>
      <c r="AG71" s="80">
        <v>3520</v>
      </c>
      <c r="AH71" s="80">
        <v>3530</v>
      </c>
      <c r="AI71" s="80">
        <v>3680</v>
      </c>
      <c r="AJ71" s="80">
        <v>3620</v>
      </c>
      <c r="AK71" s="80">
        <v>3530</v>
      </c>
      <c r="AL71" s="80">
        <v>3430</v>
      </c>
      <c r="AM71" s="80">
        <v>3320</v>
      </c>
      <c r="AN71" s="80">
        <v>3180</v>
      </c>
      <c r="AO71" s="80">
        <v>3210</v>
      </c>
      <c r="AP71" s="80">
        <v>3170</v>
      </c>
      <c r="AQ71" s="80">
        <v>3290</v>
      </c>
      <c r="AR71" s="80">
        <v>3310</v>
      </c>
      <c r="AS71" s="80">
        <v>3360</v>
      </c>
      <c r="AT71" s="80">
        <v>3470</v>
      </c>
      <c r="AU71" s="80">
        <v>3550</v>
      </c>
      <c r="AV71" s="80">
        <v>3620</v>
      </c>
      <c r="AW71" s="80">
        <v>3740</v>
      </c>
      <c r="AX71" s="80">
        <v>3800</v>
      </c>
      <c r="AY71" s="80">
        <v>3920</v>
      </c>
      <c r="AZ71" s="80">
        <v>4150</v>
      </c>
      <c r="BA71" s="80">
        <v>4250</v>
      </c>
      <c r="BB71" s="80">
        <v>4470</v>
      </c>
      <c r="BC71" s="80">
        <v>4640</v>
      </c>
      <c r="BD71" s="80">
        <v>4580</v>
      </c>
    </row>
    <row r="72" spans="1:56" x14ac:dyDescent="0.2">
      <c r="C72" s="28">
        <v>77</v>
      </c>
      <c r="E72" s="80">
        <v>1150</v>
      </c>
      <c r="F72" s="80">
        <v>1280</v>
      </c>
      <c r="G72" s="80">
        <v>1340</v>
      </c>
      <c r="H72" s="80">
        <v>1240</v>
      </c>
      <c r="I72" s="80">
        <v>1410</v>
      </c>
      <c r="J72" s="80">
        <v>1530</v>
      </c>
      <c r="K72" s="80">
        <v>1640</v>
      </c>
      <c r="L72" s="80">
        <v>1970</v>
      </c>
      <c r="M72" s="80">
        <v>2000</v>
      </c>
      <c r="N72" s="80">
        <v>2010</v>
      </c>
      <c r="O72" s="80">
        <v>2100</v>
      </c>
      <c r="P72" s="80">
        <v>2120</v>
      </c>
      <c r="Q72" s="80">
        <v>2200</v>
      </c>
      <c r="R72" s="80">
        <v>2270</v>
      </c>
      <c r="S72" s="80">
        <v>2400</v>
      </c>
      <c r="T72" s="80">
        <v>2480</v>
      </c>
      <c r="U72" s="80">
        <v>2580</v>
      </c>
      <c r="V72" s="80">
        <v>2680</v>
      </c>
      <c r="W72" s="80">
        <v>2740</v>
      </c>
      <c r="X72" s="80">
        <v>2890</v>
      </c>
      <c r="Y72" s="80">
        <v>2960</v>
      </c>
      <c r="Z72" s="80">
        <v>3110</v>
      </c>
      <c r="AA72" s="80">
        <v>3190</v>
      </c>
      <c r="AB72" s="80">
        <v>3240</v>
      </c>
      <c r="AC72" s="80">
        <v>3200</v>
      </c>
      <c r="AD72" s="80">
        <v>3110</v>
      </c>
      <c r="AE72" s="80">
        <v>3110</v>
      </c>
      <c r="AF72" s="80">
        <v>3180</v>
      </c>
      <c r="AG72" s="80">
        <v>3220</v>
      </c>
      <c r="AH72" s="80">
        <v>3290</v>
      </c>
      <c r="AI72" s="80">
        <v>3310</v>
      </c>
      <c r="AJ72" s="80">
        <v>3450</v>
      </c>
      <c r="AK72" s="80">
        <v>3390</v>
      </c>
      <c r="AL72" s="80">
        <v>3310</v>
      </c>
      <c r="AM72" s="80">
        <v>3210</v>
      </c>
      <c r="AN72" s="80">
        <v>3110</v>
      </c>
      <c r="AO72" s="80">
        <v>2980</v>
      </c>
      <c r="AP72" s="80">
        <v>3010</v>
      </c>
      <c r="AQ72" s="80">
        <v>2980</v>
      </c>
      <c r="AR72" s="80">
        <v>3090</v>
      </c>
      <c r="AS72" s="80">
        <v>3110</v>
      </c>
      <c r="AT72" s="80">
        <v>3150</v>
      </c>
      <c r="AU72" s="80">
        <v>3250</v>
      </c>
      <c r="AV72" s="80">
        <v>3330</v>
      </c>
      <c r="AW72" s="80">
        <v>3400</v>
      </c>
      <c r="AX72" s="80">
        <v>3520</v>
      </c>
      <c r="AY72" s="80">
        <v>3570</v>
      </c>
      <c r="AZ72" s="80">
        <v>3690</v>
      </c>
      <c r="BA72" s="80">
        <v>3900</v>
      </c>
      <c r="BB72" s="80">
        <v>3990</v>
      </c>
      <c r="BC72" s="80">
        <v>4200</v>
      </c>
      <c r="BD72" s="80">
        <v>4360</v>
      </c>
    </row>
    <row r="73" spans="1:56" x14ac:dyDescent="0.2">
      <c r="C73" s="28">
        <v>78</v>
      </c>
      <c r="E73" s="80">
        <v>920</v>
      </c>
      <c r="F73" s="80">
        <v>1040</v>
      </c>
      <c r="G73" s="80">
        <v>1150</v>
      </c>
      <c r="H73" s="80">
        <v>1210</v>
      </c>
      <c r="I73" s="80">
        <v>1120</v>
      </c>
      <c r="J73" s="80">
        <v>1270</v>
      </c>
      <c r="K73" s="80">
        <v>1380</v>
      </c>
      <c r="L73" s="80">
        <v>1480</v>
      </c>
      <c r="M73" s="80">
        <v>1780</v>
      </c>
      <c r="N73" s="80">
        <v>1810</v>
      </c>
      <c r="O73" s="80">
        <v>1820</v>
      </c>
      <c r="P73" s="80">
        <v>1890</v>
      </c>
      <c r="Q73" s="80">
        <v>1920</v>
      </c>
      <c r="R73" s="80">
        <v>1990</v>
      </c>
      <c r="S73" s="80">
        <v>2050</v>
      </c>
      <c r="T73" s="80">
        <v>2170</v>
      </c>
      <c r="U73" s="80">
        <v>2250</v>
      </c>
      <c r="V73" s="80">
        <v>2330</v>
      </c>
      <c r="W73" s="80">
        <v>2430</v>
      </c>
      <c r="X73" s="80">
        <v>2480</v>
      </c>
      <c r="Y73" s="80">
        <v>2620</v>
      </c>
      <c r="Z73" s="80">
        <v>2680</v>
      </c>
      <c r="AA73" s="80">
        <v>2820</v>
      </c>
      <c r="AB73" s="80">
        <v>2890</v>
      </c>
      <c r="AC73" s="80">
        <v>2940</v>
      </c>
      <c r="AD73" s="80">
        <v>2900</v>
      </c>
      <c r="AE73" s="80">
        <v>2820</v>
      </c>
      <c r="AF73" s="80">
        <v>2820</v>
      </c>
      <c r="AG73" s="80">
        <v>2880</v>
      </c>
      <c r="AH73" s="80">
        <v>2920</v>
      </c>
      <c r="AI73" s="80">
        <v>2990</v>
      </c>
      <c r="AJ73" s="80">
        <v>3000</v>
      </c>
      <c r="AK73" s="80">
        <v>3130</v>
      </c>
      <c r="AL73" s="80">
        <v>3080</v>
      </c>
      <c r="AM73" s="80">
        <v>3000</v>
      </c>
      <c r="AN73" s="80">
        <v>2920</v>
      </c>
      <c r="AO73" s="80">
        <v>2820</v>
      </c>
      <c r="AP73" s="80">
        <v>2710</v>
      </c>
      <c r="AQ73" s="80">
        <v>2730</v>
      </c>
      <c r="AR73" s="80">
        <v>2700</v>
      </c>
      <c r="AS73" s="80">
        <v>2810</v>
      </c>
      <c r="AT73" s="80">
        <v>2830</v>
      </c>
      <c r="AU73" s="80">
        <v>2860</v>
      </c>
      <c r="AV73" s="80">
        <v>2960</v>
      </c>
      <c r="AW73" s="80">
        <v>3030</v>
      </c>
      <c r="AX73" s="80">
        <v>3090</v>
      </c>
      <c r="AY73" s="80">
        <v>3200</v>
      </c>
      <c r="AZ73" s="80">
        <v>3250</v>
      </c>
      <c r="BA73" s="80">
        <v>3350</v>
      </c>
      <c r="BB73" s="80">
        <v>3550</v>
      </c>
      <c r="BC73" s="80">
        <v>3630</v>
      </c>
      <c r="BD73" s="80">
        <v>3820</v>
      </c>
    </row>
    <row r="74" spans="1:56" x14ac:dyDescent="0.2">
      <c r="C74" s="28">
        <v>79</v>
      </c>
      <c r="E74" s="80">
        <v>760</v>
      </c>
      <c r="F74" s="80">
        <v>830</v>
      </c>
      <c r="G74" s="80">
        <v>930</v>
      </c>
      <c r="H74" s="80">
        <v>1030</v>
      </c>
      <c r="I74" s="80">
        <v>1080</v>
      </c>
      <c r="J74" s="80">
        <v>1000</v>
      </c>
      <c r="K74" s="80">
        <v>1140</v>
      </c>
      <c r="L74" s="80">
        <v>1230</v>
      </c>
      <c r="M74" s="80">
        <v>1320</v>
      </c>
      <c r="N74" s="80">
        <v>1580</v>
      </c>
      <c r="O74" s="80">
        <v>1610</v>
      </c>
      <c r="P74" s="80">
        <v>1620</v>
      </c>
      <c r="Q74" s="80">
        <v>1690</v>
      </c>
      <c r="R74" s="80">
        <v>1710</v>
      </c>
      <c r="S74" s="80">
        <v>1780</v>
      </c>
      <c r="T74" s="80">
        <v>1830</v>
      </c>
      <c r="U74" s="80">
        <v>1930</v>
      </c>
      <c r="V74" s="80">
        <v>2000</v>
      </c>
      <c r="W74" s="80">
        <v>2080</v>
      </c>
      <c r="X74" s="80">
        <v>2160</v>
      </c>
      <c r="Y74" s="80">
        <v>2210</v>
      </c>
      <c r="Z74" s="80">
        <v>2330</v>
      </c>
      <c r="AA74" s="80">
        <v>2390</v>
      </c>
      <c r="AB74" s="80">
        <v>2510</v>
      </c>
      <c r="AC74" s="80">
        <v>2580</v>
      </c>
      <c r="AD74" s="80">
        <v>2610</v>
      </c>
      <c r="AE74" s="80">
        <v>2580</v>
      </c>
      <c r="AF74" s="80">
        <v>2510</v>
      </c>
      <c r="AG74" s="80">
        <v>2510</v>
      </c>
      <c r="AH74" s="80">
        <v>2570</v>
      </c>
      <c r="AI74" s="80">
        <v>2600</v>
      </c>
      <c r="AJ74" s="80">
        <v>2660</v>
      </c>
      <c r="AK74" s="80">
        <v>2670</v>
      </c>
      <c r="AL74" s="80">
        <v>2790</v>
      </c>
      <c r="AM74" s="80">
        <v>2740</v>
      </c>
      <c r="AN74" s="80">
        <v>2680</v>
      </c>
      <c r="AO74" s="80">
        <v>2600</v>
      </c>
      <c r="AP74" s="80">
        <v>2520</v>
      </c>
      <c r="AQ74" s="80">
        <v>2410</v>
      </c>
      <c r="AR74" s="80">
        <v>2430</v>
      </c>
      <c r="AS74" s="80">
        <v>2410</v>
      </c>
      <c r="AT74" s="80">
        <v>2500</v>
      </c>
      <c r="AU74" s="80">
        <v>2520</v>
      </c>
      <c r="AV74" s="80">
        <v>2560</v>
      </c>
      <c r="AW74" s="80">
        <v>2640</v>
      </c>
      <c r="AX74" s="80">
        <v>2700</v>
      </c>
      <c r="AY74" s="80">
        <v>2760</v>
      </c>
      <c r="AZ74" s="80">
        <v>2860</v>
      </c>
      <c r="BA74" s="80">
        <v>2900</v>
      </c>
      <c r="BB74" s="80">
        <v>3000</v>
      </c>
      <c r="BC74" s="80">
        <v>3170</v>
      </c>
      <c r="BD74" s="80">
        <v>3250</v>
      </c>
    </row>
    <row r="75" spans="1:56" x14ac:dyDescent="0.2">
      <c r="C75" s="28" t="s">
        <v>1165</v>
      </c>
      <c r="E75" s="80">
        <v>4000</v>
      </c>
      <c r="F75" s="80">
        <v>4300</v>
      </c>
      <c r="G75" s="80">
        <v>4600</v>
      </c>
      <c r="H75" s="80">
        <v>4900</v>
      </c>
      <c r="I75" s="80">
        <v>5300</v>
      </c>
      <c r="J75" s="80">
        <v>5700</v>
      </c>
      <c r="K75" s="80">
        <v>5900</v>
      </c>
      <c r="L75" s="80">
        <v>6300</v>
      </c>
      <c r="M75" s="80">
        <v>6700</v>
      </c>
      <c r="N75" s="80">
        <v>7200</v>
      </c>
      <c r="O75" s="80">
        <v>7800</v>
      </c>
      <c r="P75" s="80">
        <v>8400</v>
      </c>
      <c r="Q75" s="80">
        <v>8900</v>
      </c>
      <c r="R75" s="80">
        <v>9400</v>
      </c>
      <c r="S75" s="80">
        <v>9900</v>
      </c>
      <c r="T75" s="80">
        <v>10400</v>
      </c>
      <c r="U75" s="80">
        <v>10900</v>
      </c>
      <c r="V75" s="80">
        <v>11400</v>
      </c>
      <c r="W75" s="80">
        <v>12000</v>
      </c>
      <c r="X75" s="80">
        <v>12500</v>
      </c>
      <c r="Y75" s="80">
        <v>13100</v>
      </c>
      <c r="Z75" s="80">
        <v>13600</v>
      </c>
      <c r="AA75" s="80">
        <v>14200</v>
      </c>
      <c r="AB75" s="80">
        <v>14800</v>
      </c>
      <c r="AC75" s="80">
        <v>15400</v>
      </c>
      <c r="AD75" s="80">
        <v>16000</v>
      </c>
      <c r="AE75" s="80">
        <v>16600</v>
      </c>
      <c r="AF75" s="80">
        <v>17100</v>
      </c>
      <c r="AG75" s="80">
        <v>17400</v>
      </c>
      <c r="AH75" s="80">
        <v>17800</v>
      </c>
      <c r="AI75" s="80">
        <v>18200</v>
      </c>
      <c r="AJ75" s="80">
        <v>18500</v>
      </c>
      <c r="AK75" s="80">
        <v>18900</v>
      </c>
      <c r="AL75" s="80">
        <v>19200</v>
      </c>
      <c r="AM75" s="80">
        <v>19600</v>
      </c>
      <c r="AN75" s="80">
        <v>19900</v>
      </c>
      <c r="AO75" s="80">
        <v>20100</v>
      </c>
      <c r="AP75" s="80">
        <v>20300</v>
      </c>
      <c r="AQ75" s="80">
        <v>20300</v>
      </c>
      <c r="AR75" s="80">
        <v>20300</v>
      </c>
      <c r="AS75" s="80">
        <v>20300</v>
      </c>
      <c r="AT75" s="80">
        <v>20200</v>
      </c>
      <c r="AU75" s="80">
        <v>20300</v>
      </c>
      <c r="AV75" s="80">
        <v>20300</v>
      </c>
      <c r="AW75" s="80">
        <v>20400</v>
      </c>
      <c r="AX75" s="80">
        <v>20500</v>
      </c>
      <c r="AY75" s="80">
        <v>20700</v>
      </c>
      <c r="AZ75" s="80">
        <v>20900</v>
      </c>
      <c r="BA75" s="80">
        <v>21200</v>
      </c>
      <c r="BB75" s="80">
        <v>21500</v>
      </c>
      <c r="BC75" s="80">
        <v>21900</v>
      </c>
      <c r="BD75" s="80">
        <v>22400</v>
      </c>
    </row>
    <row r="76" spans="1:56" x14ac:dyDescent="0.2">
      <c r="C76" s="72" t="s">
        <v>1166</v>
      </c>
      <c r="E76" s="81">
        <f t="shared" ref="E76:BD76" si="2">SUM(E$10:E$75)</f>
        <v>1245830</v>
      </c>
      <c r="F76" s="81">
        <f t="shared" si="2"/>
        <v>1269260</v>
      </c>
      <c r="G76" s="81">
        <f t="shared" si="2"/>
        <v>1289480</v>
      </c>
      <c r="H76" s="81">
        <f t="shared" si="2"/>
        <v>1306460</v>
      </c>
      <c r="I76" s="81">
        <f t="shared" si="2"/>
        <v>1320380</v>
      </c>
      <c r="J76" s="81">
        <f t="shared" si="2"/>
        <v>1331340</v>
      </c>
      <c r="K76" s="81">
        <f t="shared" si="2"/>
        <v>1341980</v>
      </c>
      <c r="L76" s="81">
        <f t="shared" si="2"/>
        <v>1352390</v>
      </c>
      <c r="M76" s="81">
        <f t="shared" si="2"/>
        <v>1362470</v>
      </c>
      <c r="N76" s="81">
        <f t="shared" si="2"/>
        <v>1372270</v>
      </c>
      <c r="O76" s="81">
        <f t="shared" si="2"/>
        <v>1381470</v>
      </c>
      <c r="P76" s="81">
        <f t="shared" si="2"/>
        <v>1390300</v>
      </c>
      <c r="Q76" s="81">
        <f t="shared" si="2"/>
        <v>1398540</v>
      </c>
      <c r="R76" s="81">
        <f t="shared" si="2"/>
        <v>1406290</v>
      </c>
      <c r="S76" s="81">
        <f t="shared" si="2"/>
        <v>1413670</v>
      </c>
      <c r="T76" s="81">
        <f t="shared" si="2"/>
        <v>1420760</v>
      </c>
      <c r="U76" s="81">
        <f t="shared" si="2"/>
        <v>1427680</v>
      </c>
      <c r="V76" s="81">
        <f t="shared" si="2"/>
        <v>1434400</v>
      </c>
      <c r="W76" s="81">
        <f t="shared" si="2"/>
        <v>1441240</v>
      </c>
      <c r="X76" s="81">
        <f t="shared" si="2"/>
        <v>1447910</v>
      </c>
      <c r="Y76" s="81">
        <f t="shared" si="2"/>
        <v>1454670</v>
      </c>
      <c r="Z76" s="81">
        <f t="shared" si="2"/>
        <v>1461290</v>
      </c>
      <c r="AA76" s="81">
        <f t="shared" si="2"/>
        <v>1468050</v>
      </c>
      <c r="AB76" s="81">
        <f t="shared" si="2"/>
        <v>1474890</v>
      </c>
      <c r="AC76" s="81">
        <f t="shared" si="2"/>
        <v>1481730</v>
      </c>
      <c r="AD76" s="81">
        <f t="shared" si="2"/>
        <v>1488460</v>
      </c>
      <c r="AE76" s="81">
        <f t="shared" si="2"/>
        <v>1495260</v>
      </c>
      <c r="AF76" s="81">
        <f t="shared" si="2"/>
        <v>1501900</v>
      </c>
      <c r="AG76" s="81">
        <f t="shared" si="2"/>
        <v>1508220</v>
      </c>
      <c r="AH76" s="81">
        <f t="shared" si="2"/>
        <v>1514430</v>
      </c>
      <c r="AI76" s="81">
        <f t="shared" si="2"/>
        <v>1520260</v>
      </c>
      <c r="AJ76" s="81">
        <f t="shared" si="2"/>
        <v>1525480</v>
      </c>
      <c r="AK76" s="81">
        <f t="shared" si="2"/>
        <v>1530340</v>
      </c>
      <c r="AL76" s="81">
        <f t="shared" si="2"/>
        <v>1534470</v>
      </c>
      <c r="AM76" s="81">
        <f t="shared" si="2"/>
        <v>1538020</v>
      </c>
      <c r="AN76" s="81">
        <f t="shared" si="2"/>
        <v>1540950</v>
      </c>
      <c r="AO76" s="81">
        <f t="shared" si="2"/>
        <v>1543070</v>
      </c>
      <c r="AP76" s="81">
        <f t="shared" si="2"/>
        <v>1544740</v>
      </c>
      <c r="AQ76" s="81">
        <f t="shared" si="2"/>
        <v>1545660</v>
      </c>
      <c r="AR76" s="81">
        <f t="shared" si="2"/>
        <v>1546220</v>
      </c>
      <c r="AS76" s="81">
        <f t="shared" si="2"/>
        <v>1546310</v>
      </c>
      <c r="AT76" s="81">
        <f t="shared" si="2"/>
        <v>1546050</v>
      </c>
      <c r="AU76" s="81">
        <f t="shared" si="2"/>
        <v>1545740</v>
      </c>
      <c r="AV76" s="81">
        <f t="shared" si="2"/>
        <v>1545280</v>
      </c>
      <c r="AW76" s="81">
        <f t="shared" si="2"/>
        <v>1544970</v>
      </c>
      <c r="AX76" s="81">
        <f t="shared" si="2"/>
        <v>1544760</v>
      </c>
      <c r="AY76" s="81">
        <f t="shared" si="2"/>
        <v>1544930</v>
      </c>
      <c r="AZ76" s="81">
        <f t="shared" si="2"/>
        <v>1545400</v>
      </c>
      <c r="BA76" s="81">
        <f t="shared" si="2"/>
        <v>1546180</v>
      </c>
      <c r="BB76" s="81">
        <f t="shared" si="2"/>
        <v>1547360</v>
      </c>
      <c r="BC76" s="81">
        <f t="shared" si="2"/>
        <v>1548830</v>
      </c>
      <c r="BD76" s="81">
        <f t="shared" si="2"/>
        <v>1550560</v>
      </c>
    </row>
    <row r="77" spans="1:56" x14ac:dyDescent="0.2">
      <c r="C77" s="72"/>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row>
    <row r="78" spans="1:56" x14ac:dyDescent="0.2">
      <c r="A78" s="72"/>
    </row>
    <row r="79" spans="1:56" x14ac:dyDescent="0.2">
      <c r="A79" s="72" t="s">
        <v>1167</v>
      </c>
      <c r="C79" s="72" t="s">
        <v>1164</v>
      </c>
    </row>
    <row r="80" spans="1:56" x14ac:dyDescent="0.2">
      <c r="C80" s="28">
        <v>15</v>
      </c>
      <c r="E80" s="80">
        <v>5480</v>
      </c>
      <c r="F80" s="80">
        <v>5480</v>
      </c>
      <c r="G80" s="80">
        <v>5530</v>
      </c>
      <c r="H80" s="80">
        <v>5440</v>
      </c>
      <c r="I80" s="80">
        <v>5490</v>
      </c>
      <c r="J80" s="80">
        <v>5730</v>
      </c>
      <c r="K80" s="80">
        <v>5900</v>
      </c>
      <c r="L80" s="80">
        <v>5910</v>
      </c>
      <c r="M80" s="80">
        <v>5890</v>
      </c>
      <c r="N80" s="80">
        <v>5730</v>
      </c>
      <c r="O80" s="80">
        <v>5610</v>
      </c>
      <c r="P80" s="80">
        <v>5520</v>
      </c>
      <c r="Q80" s="80">
        <v>5370</v>
      </c>
      <c r="R80" s="80">
        <v>5330</v>
      </c>
      <c r="S80" s="80">
        <v>5270</v>
      </c>
      <c r="T80" s="80">
        <v>5310</v>
      </c>
      <c r="U80" s="80">
        <v>5380</v>
      </c>
      <c r="V80" s="80">
        <v>5450</v>
      </c>
      <c r="W80" s="80">
        <v>5500</v>
      </c>
      <c r="X80" s="80">
        <v>5540</v>
      </c>
      <c r="Y80" s="80">
        <v>5560</v>
      </c>
      <c r="Z80" s="80">
        <v>5560</v>
      </c>
      <c r="AA80" s="80">
        <v>5560</v>
      </c>
      <c r="AB80" s="80">
        <v>5540</v>
      </c>
      <c r="AC80" s="80">
        <v>5520</v>
      </c>
      <c r="AD80" s="80">
        <v>5490</v>
      </c>
      <c r="AE80" s="80">
        <v>5460</v>
      </c>
      <c r="AF80" s="80">
        <v>5420</v>
      </c>
      <c r="AG80" s="80">
        <v>5370</v>
      </c>
      <c r="AH80" s="80">
        <v>5330</v>
      </c>
      <c r="AI80" s="80">
        <v>5290</v>
      </c>
      <c r="AJ80" s="80">
        <v>5250</v>
      </c>
      <c r="AK80" s="80">
        <v>5210</v>
      </c>
      <c r="AL80" s="80">
        <v>5190</v>
      </c>
      <c r="AM80" s="80">
        <v>5170</v>
      </c>
      <c r="AN80" s="80">
        <v>5160</v>
      </c>
      <c r="AO80" s="80">
        <v>5160</v>
      </c>
      <c r="AP80" s="80">
        <v>5160</v>
      </c>
      <c r="AQ80" s="80">
        <v>5170</v>
      </c>
      <c r="AR80" s="80">
        <v>5190</v>
      </c>
      <c r="AS80" s="80">
        <v>5200</v>
      </c>
      <c r="AT80" s="80">
        <v>5220</v>
      </c>
      <c r="AU80" s="80">
        <v>5230</v>
      </c>
      <c r="AV80" s="80">
        <v>5250</v>
      </c>
      <c r="AW80" s="80">
        <v>5260</v>
      </c>
      <c r="AX80" s="80">
        <v>5270</v>
      </c>
      <c r="AY80" s="80">
        <v>5290</v>
      </c>
      <c r="AZ80" s="80">
        <v>5300</v>
      </c>
      <c r="BA80" s="80">
        <v>5310</v>
      </c>
      <c r="BB80" s="80">
        <v>5320</v>
      </c>
      <c r="BC80" s="80">
        <v>5340</v>
      </c>
      <c r="BD80" s="80">
        <v>5350</v>
      </c>
    </row>
    <row r="81" spans="3:56" x14ac:dyDescent="0.2">
      <c r="C81" s="28">
        <v>16</v>
      </c>
      <c r="E81" s="80">
        <v>11390</v>
      </c>
      <c r="F81" s="80">
        <v>11010</v>
      </c>
      <c r="G81" s="80">
        <v>11210</v>
      </c>
      <c r="H81" s="80">
        <v>11520</v>
      </c>
      <c r="I81" s="80">
        <v>11540</v>
      </c>
      <c r="J81" s="80">
        <v>11820</v>
      </c>
      <c r="K81" s="80">
        <v>12520</v>
      </c>
      <c r="L81" s="80">
        <v>13080</v>
      </c>
      <c r="M81" s="80">
        <v>13300</v>
      </c>
      <c r="N81" s="80">
        <v>13430</v>
      </c>
      <c r="O81" s="80">
        <v>13240</v>
      </c>
      <c r="P81" s="80">
        <v>13110</v>
      </c>
      <c r="Q81" s="80">
        <v>13040</v>
      </c>
      <c r="R81" s="80">
        <v>12820</v>
      </c>
      <c r="S81" s="80">
        <v>12830</v>
      </c>
      <c r="T81" s="80">
        <v>12790</v>
      </c>
      <c r="U81" s="80">
        <v>13000</v>
      </c>
      <c r="V81" s="80">
        <v>13270</v>
      </c>
      <c r="W81" s="80">
        <v>13520</v>
      </c>
      <c r="X81" s="80">
        <v>13730</v>
      </c>
      <c r="Y81" s="80">
        <v>13900</v>
      </c>
      <c r="Z81" s="80">
        <v>14030</v>
      </c>
      <c r="AA81" s="80">
        <v>14110</v>
      </c>
      <c r="AB81" s="80">
        <v>14160</v>
      </c>
      <c r="AC81" s="80">
        <v>14180</v>
      </c>
      <c r="AD81" s="80">
        <v>14170</v>
      </c>
      <c r="AE81" s="80">
        <v>14140</v>
      </c>
      <c r="AF81" s="80">
        <v>14080</v>
      </c>
      <c r="AG81" s="80">
        <v>14020</v>
      </c>
      <c r="AH81" s="80">
        <v>13930</v>
      </c>
      <c r="AI81" s="80">
        <v>13850</v>
      </c>
      <c r="AJ81" s="80">
        <v>13760</v>
      </c>
      <c r="AK81" s="80">
        <v>13680</v>
      </c>
      <c r="AL81" s="80">
        <v>13610</v>
      </c>
      <c r="AM81" s="80">
        <v>13550</v>
      </c>
      <c r="AN81" s="80">
        <v>13520</v>
      </c>
      <c r="AO81" s="80">
        <v>13510</v>
      </c>
      <c r="AP81" s="80">
        <v>13510</v>
      </c>
      <c r="AQ81" s="80">
        <v>13530</v>
      </c>
      <c r="AR81" s="80">
        <v>13560</v>
      </c>
      <c r="AS81" s="80">
        <v>13600</v>
      </c>
      <c r="AT81" s="80">
        <v>13640</v>
      </c>
      <c r="AU81" s="80">
        <v>13690</v>
      </c>
      <c r="AV81" s="80">
        <v>13730</v>
      </c>
      <c r="AW81" s="80">
        <v>13770</v>
      </c>
      <c r="AX81" s="80">
        <v>13800</v>
      </c>
      <c r="AY81" s="80">
        <v>13840</v>
      </c>
      <c r="AZ81" s="80">
        <v>13870</v>
      </c>
      <c r="BA81" s="80">
        <v>13900</v>
      </c>
      <c r="BB81" s="80">
        <v>13940</v>
      </c>
      <c r="BC81" s="80">
        <v>13970</v>
      </c>
      <c r="BD81" s="80">
        <v>14000</v>
      </c>
    </row>
    <row r="82" spans="3:56" x14ac:dyDescent="0.2">
      <c r="C82" s="28">
        <v>17</v>
      </c>
      <c r="E82" s="80">
        <v>15410</v>
      </c>
      <c r="F82" s="80">
        <v>15110</v>
      </c>
      <c r="G82" s="80">
        <v>14540</v>
      </c>
      <c r="H82" s="80">
        <v>14720</v>
      </c>
      <c r="I82" s="80">
        <v>15050</v>
      </c>
      <c r="J82" s="80">
        <v>15000</v>
      </c>
      <c r="K82" s="80">
        <v>15310</v>
      </c>
      <c r="L82" s="80">
        <v>16150</v>
      </c>
      <c r="M82" s="80">
        <v>16830</v>
      </c>
      <c r="N82" s="80">
        <v>17050</v>
      </c>
      <c r="O82" s="80">
        <v>17180</v>
      </c>
      <c r="P82" s="80">
        <v>16900</v>
      </c>
      <c r="Q82" s="80">
        <v>16700</v>
      </c>
      <c r="R82" s="80">
        <v>16580</v>
      </c>
      <c r="S82" s="80">
        <v>16270</v>
      </c>
      <c r="T82" s="80">
        <v>16250</v>
      </c>
      <c r="U82" s="80">
        <v>16190</v>
      </c>
      <c r="V82" s="80">
        <v>16420</v>
      </c>
      <c r="W82" s="80">
        <v>16740</v>
      </c>
      <c r="X82" s="80">
        <v>17030</v>
      </c>
      <c r="Y82" s="80">
        <v>17280</v>
      </c>
      <c r="Z82" s="80">
        <v>17480</v>
      </c>
      <c r="AA82" s="80">
        <v>17610</v>
      </c>
      <c r="AB82" s="80">
        <v>17700</v>
      </c>
      <c r="AC82" s="80">
        <v>17750</v>
      </c>
      <c r="AD82" s="80">
        <v>17760</v>
      </c>
      <c r="AE82" s="80">
        <v>17740</v>
      </c>
      <c r="AF82" s="80">
        <v>17690</v>
      </c>
      <c r="AG82" s="80">
        <v>17620</v>
      </c>
      <c r="AH82" s="80">
        <v>17520</v>
      </c>
      <c r="AI82" s="80">
        <v>17420</v>
      </c>
      <c r="AJ82" s="80">
        <v>17300</v>
      </c>
      <c r="AK82" s="80">
        <v>17190</v>
      </c>
      <c r="AL82" s="80">
        <v>17080</v>
      </c>
      <c r="AM82" s="80">
        <v>16990</v>
      </c>
      <c r="AN82" s="80">
        <v>16920</v>
      </c>
      <c r="AO82" s="80">
        <v>16880</v>
      </c>
      <c r="AP82" s="80">
        <v>16860</v>
      </c>
      <c r="AQ82" s="80">
        <v>16870</v>
      </c>
      <c r="AR82" s="80">
        <v>16890</v>
      </c>
      <c r="AS82" s="80">
        <v>16930</v>
      </c>
      <c r="AT82" s="80">
        <v>16980</v>
      </c>
      <c r="AU82" s="80">
        <v>17030</v>
      </c>
      <c r="AV82" s="80">
        <v>17080</v>
      </c>
      <c r="AW82" s="80">
        <v>17130</v>
      </c>
      <c r="AX82" s="80">
        <v>17180</v>
      </c>
      <c r="AY82" s="80">
        <v>17220</v>
      </c>
      <c r="AZ82" s="80">
        <v>17270</v>
      </c>
      <c r="BA82" s="80">
        <v>17310</v>
      </c>
      <c r="BB82" s="80">
        <v>17350</v>
      </c>
      <c r="BC82" s="80">
        <v>17390</v>
      </c>
      <c r="BD82" s="80">
        <v>17430</v>
      </c>
    </row>
    <row r="83" spans="3:56" x14ac:dyDescent="0.2">
      <c r="C83" s="28">
        <v>18</v>
      </c>
      <c r="E83" s="80">
        <v>18420</v>
      </c>
      <c r="F83" s="80">
        <v>19000</v>
      </c>
      <c r="G83" s="80">
        <v>18560</v>
      </c>
      <c r="H83" s="80">
        <v>17780</v>
      </c>
      <c r="I83" s="80">
        <v>17920</v>
      </c>
      <c r="J83" s="80">
        <v>18230</v>
      </c>
      <c r="K83" s="80">
        <v>18140</v>
      </c>
      <c r="L83" s="80">
        <v>18480</v>
      </c>
      <c r="M83" s="80">
        <v>19460</v>
      </c>
      <c r="N83" s="80">
        <v>20230</v>
      </c>
      <c r="O83" s="80">
        <v>20470</v>
      </c>
      <c r="P83" s="80">
        <v>20600</v>
      </c>
      <c r="Q83" s="80">
        <v>20240</v>
      </c>
      <c r="R83" s="80">
        <v>19990</v>
      </c>
      <c r="S83" s="80">
        <v>19830</v>
      </c>
      <c r="T83" s="80">
        <v>19440</v>
      </c>
      <c r="U83" s="80">
        <v>19410</v>
      </c>
      <c r="V83" s="80">
        <v>19320</v>
      </c>
      <c r="W83" s="80">
        <v>19580</v>
      </c>
      <c r="X83" s="80">
        <v>19950</v>
      </c>
      <c r="Y83" s="80">
        <v>20270</v>
      </c>
      <c r="Z83" s="80">
        <v>20550</v>
      </c>
      <c r="AA83" s="80">
        <v>20770</v>
      </c>
      <c r="AB83" s="80">
        <v>20930</v>
      </c>
      <c r="AC83" s="80">
        <v>21020</v>
      </c>
      <c r="AD83" s="80">
        <v>21070</v>
      </c>
      <c r="AE83" s="80">
        <v>21080</v>
      </c>
      <c r="AF83" s="80">
        <v>21050</v>
      </c>
      <c r="AG83" s="80">
        <v>20980</v>
      </c>
      <c r="AH83" s="80">
        <v>20890</v>
      </c>
      <c r="AI83" s="80">
        <v>20780</v>
      </c>
      <c r="AJ83" s="80">
        <v>20650</v>
      </c>
      <c r="AK83" s="80">
        <v>20510</v>
      </c>
      <c r="AL83" s="80">
        <v>20380</v>
      </c>
      <c r="AM83" s="80">
        <v>20250</v>
      </c>
      <c r="AN83" s="80">
        <v>20150</v>
      </c>
      <c r="AO83" s="80">
        <v>20060</v>
      </c>
      <c r="AP83" s="80">
        <v>20010</v>
      </c>
      <c r="AQ83" s="80">
        <v>19990</v>
      </c>
      <c r="AR83" s="80">
        <v>19990</v>
      </c>
      <c r="AS83" s="80">
        <v>20020</v>
      </c>
      <c r="AT83" s="80">
        <v>20070</v>
      </c>
      <c r="AU83" s="80">
        <v>20120</v>
      </c>
      <c r="AV83" s="80">
        <v>20180</v>
      </c>
      <c r="AW83" s="80">
        <v>20240</v>
      </c>
      <c r="AX83" s="80">
        <v>20300</v>
      </c>
      <c r="AY83" s="80">
        <v>20350</v>
      </c>
      <c r="AZ83" s="80">
        <v>20410</v>
      </c>
      <c r="BA83" s="80">
        <v>20460</v>
      </c>
      <c r="BB83" s="80">
        <v>20510</v>
      </c>
      <c r="BC83" s="80">
        <v>20550</v>
      </c>
      <c r="BD83" s="80">
        <v>20600</v>
      </c>
    </row>
    <row r="84" spans="3:56" x14ac:dyDescent="0.2">
      <c r="C84" s="28">
        <v>19</v>
      </c>
      <c r="E84" s="80">
        <v>22100</v>
      </c>
      <c r="F84" s="80">
        <v>21930</v>
      </c>
      <c r="G84" s="80">
        <v>22460</v>
      </c>
      <c r="H84" s="80">
        <v>21830</v>
      </c>
      <c r="I84" s="80">
        <v>20810</v>
      </c>
      <c r="J84" s="80">
        <v>20840</v>
      </c>
      <c r="K84" s="80">
        <v>21180</v>
      </c>
      <c r="L84" s="80">
        <v>21060</v>
      </c>
      <c r="M84" s="80">
        <v>21430</v>
      </c>
      <c r="N84" s="80">
        <v>22530</v>
      </c>
      <c r="O84" s="80">
        <v>23400</v>
      </c>
      <c r="P84" s="80">
        <v>23660</v>
      </c>
      <c r="Q84" s="80">
        <v>23790</v>
      </c>
      <c r="R84" s="80">
        <v>23370</v>
      </c>
      <c r="S84" s="80">
        <v>23070</v>
      </c>
      <c r="T84" s="80">
        <v>22880</v>
      </c>
      <c r="U84" s="80">
        <v>22430</v>
      </c>
      <c r="V84" s="80">
        <v>22390</v>
      </c>
      <c r="W84" s="80">
        <v>22270</v>
      </c>
      <c r="X84" s="80">
        <v>22570</v>
      </c>
      <c r="Y84" s="80">
        <v>22970</v>
      </c>
      <c r="Z84" s="80">
        <v>23340</v>
      </c>
      <c r="AA84" s="80">
        <v>23650</v>
      </c>
      <c r="AB84" s="80">
        <v>23890</v>
      </c>
      <c r="AC84" s="80">
        <v>24060</v>
      </c>
      <c r="AD84" s="80">
        <v>24160</v>
      </c>
      <c r="AE84" s="80">
        <v>24210</v>
      </c>
      <c r="AF84" s="80">
        <v>24220</v>
      </c>
      <c r="AG84" s="80">
        <v>24180</v>
      </c>
      <c r="AH84" s="80">
        <v>24110</v>
      </c>
      <c r="AI84" s="80">
        <v>24010</v>
      </c>
      <c r="AJ84" s="80">
        <v>23880</v>
      </c>
      <c r="AK84" s="80">
        <v>23730</v>
      </c>
      <c r="AL84" s="80">
        <v>23570</v>
      </c>
      <c r="AM84" s="80">
        <v>23420</v>
      </c>
      <c r="AN84" s="80">
        <v>23270</v>
      </c>
      <c r="AO84" s="80">
        <v>23150</v>
      </c>
      <c r="AP84" s="80">
        <v>23060</v>
      </c>
      <c r="AQ84" s="80">
        <v>23000</v>
      </c>
      <c r="AR84" s="80">
        <v>22970</v>
      </c>
      <c r="AS84" s="80">
        <v>22980</v>
      </c>
      <c r="AT84" s="80">
        <v>23010</v>
      </c>
      <c r="AU84" s="80">
        <v>23060</v>
      </c>
      <c r="AV84" s="80">
        <v>23120</v>
      </c>
      <c r="AW84" s="80">
        <v>23190</v>
      </c>
      <c r="AX84" s="80">
        <v>23260</v>
      </c>
      <c r="AY84" s="80">
        <v>23320</v>
      </c>
      <c r="AZ84" s="80">
        <v>23390</v>
      </c>
      <c r="BA84" s="80">
        <v>23450</v>
      </c>
      <c r="BB84" s="80">
        <v>23500</v>
      </c>
      <c r="BC84" s="80">
        <v>23560</v>
      </c>
      <c r="BD84" s="80">
        <v>23610</v>
      </c>
    </row>
    <row r="85" spans="3:56" x14ac:dyDescent="0.2">
      <c r="C85" s="28">
        <v>20</v>
      </c>
      <c r="E85" s="80">
        <v>25480</v>
      </c>
      <c r="F85" s="80">
        <v>25440</v>
      </c>
      <c r="G85" s="80">
        <v>25090</v>
      </c>
      <c r="H85" s="80">
        <v>25540</v>
      </c>
      <c r="I85" s="80">
        <v>24680</v>
      </c>
      <c r="J85" s="80">
        <v>23400</v>
      </c>
      <c r="K85" s="80">
        <v>23430</v>
      </c>
      <c r="L85" s="80">
        <v>23780</v>
      </c>
      <c r="M85" s="80">
        <v>23650</v>
      </c>
      <c r="N85" s="80">
        <v>24050</v>
      </c>
      <c r="O85" s="80">
        <v>25260</v>
      </c>
      <c r="P85" s="80">
        <v>26210</v>
      </c>
      <c r="Q85" s="80">
        <v>26490</v>
      </c>
      <c r="R85" s="80">
        <v>26630</v>
      </c>
      <c r="S85" s="80">
        <v>26160</v>
      </c>
      <c r="T85" s="80">
        <v>25830</v>
      </c>
      <c r="U85" s="80">
        <v>25610</v>
      </c>
      <c r="V85" s="80">
        <v>25110</v>
      </c>
      <c r="W85" s="80">
        <v>25060</v>
      </c>
      <c r="X85" s="80">
        <v>24930</v>
      </c>
      <c r="Y85" s="80">
        <v>25250</v>
      </c>
      <c r="Z85" s="80">
        <v>25690</v>
      </c>
      <c r="AA85" s="80">
        <v>26090</v>
      </c>
      <c r="AB85" s="80">
        <v>26430</v>
      </c>
      <c r="AC85" s="80">
        <v>26700</v>
      </c>
      <c r="AD85" s="80">
        <v>26880</v>
      </c>
      <c r="AE85" s="80">
        <v>26990</v>
      </c>
      <c r="AF85" s="80">
        <v>27050</v>
      </c>
      <c r="AG85" s="80">
        <v>27050</v>
      </c>
      <c r="AH85" s="80">
        <v>27010</v>
      </c>
      <c r="AI85" s="80">
        <v>26930</v>
      </c>
      <c r="AJ85" s="80">
        <v>26820</v>
      </c>
      <c r="AK85" s="80">
        <v>26670</v>
      </c>
      <c r="AL85" s="80">
        <v>26510</v>
      </c>
      <c r="AM85" s="80">
        <v>26340</v>
      </c>
      <c r="AN85" s="80">
        <v>26160</v>
      </c>
      <c r="AO85" s="80">
        <v>26010</v>
      </c>
      <c r="AP85" s="80">
        <v>25870</v>
      </c>
      <c r="AQ85" s="80">
        <v>25770</v>
      </c>
      <c r="AR85" s="80">
        <v>25700</v>
      </c>
      <c r="AS85" s="80">
        <v>25670</v>
      </c>
      <c r="AT85" s="80">
        <v>25680</v>
      </c>
      <c r="AU85" s="80">
        <v>25710</v>
      </c>
      <c r="AV85" s="80">
        <v>25770</v>
      </c>
      <c r="AW85" s="80">
        <v>25840</v>
      </c>
      <c r="AX85" s="80">
        <v>25910</v>
      </c>
      <c r="AY85" s="80">
        <v>25990</v>
      </c>
      <c r="AZ85" s="80">
        <v>26060</v>
      </c>
      <c r="BA85" s="80">
        <v>26130</v>
      </c>
      <c r="BB85" s="80">
        <v>26200</v>
      </c>
      <c r="BC85" s="80">
        <v>26260</v>
      </c>
      <c r="BD85" s="80">
        <v>26320</v>
      </c>
    </row>
    <row r="86" spans="3:56" x14ac:dyDescent="0.2">
      <c r="C86" s="28">
        <v>21</v>
      </c>
      <c r="E86" s="80">
        <v>28630</v>
      </c>
      <c r="F86" s="80">
        <v>28250</v>
      </c>
      <c r="G86" s="80">
        <v>28060</v>
      </c>
      <c r="H86" s="80">
        <v>27520</v>
      </c>
      <c r="I86" s="80">
        <v>27840</v>
      </c>
      <c r="J86" s="80">
        <v>26750</v>
      </c>
      <c r="K86" s="80">
        <v>25380</v>
      </c>
      <c r="L86" s="80">
        <v>25410</v>
      </c>
      <c r="M86" s="80">
        <v>25800</v>
      </c>
      <c r="N86" s="80">
        <v>25650</v>
      </c>
      <c r="O86" s="80">
        <v>26080</v>
      </c>
      <c r="P86" s="80">
        <v>27390</v>
      </c>
      <c r="Q86" s="80">
        <v>28420</v>
      </c>
      <c r="R86" s="80">
        <v>28720</v>
      </c>
      <c r="S86" s="80">
        <v>28880</v>
      </c>
      <c r="T86" s="80">
        <v>28370</v>
      </c>
      <c r="U86" s="80">
        <v>28010</v>
      </c>
      <c r="V86" s="80">
        <v>27780</v>
      </c>
      <c r="W86" s="80">
        <v>27240</v>
      </c>
      <c r="X86" s="80">
        <v>27180</v>
      </c>
      <c r="Y86" s="80">
        <v>27050</v>
      </c>
      <c r="Z86" s="80">
        <v>27390</v>
      </c>
      <c r="AA86" s="80">
        <v>27870</v>
      </c>
      <c r="AB86" s="80">
        <v>28300</v>
      </c>
      <c r="AC86" s="80">
        <v>28670</v>
      </c>
      <c r="AD86" s="80">
        <v>28960</v>
      </c>
      <c r="AE86" s="80">
        <v>29160</v>
      </c>
      <c r="AF86" s="80">
        <v>29280</v>
      </c>
      <c r="AG86" s="80">
        <v>29340</v>
      </c>
      <c r="AH86" s="80">
        <v>29340</v>
      </c>
      <c r="AI86" s="80">
        <v>29300</v>
      </c>
      <c r="AJ86" s="80">
        <v>29210</v>
      </c>
      <c r="AK86" s="80">
        <v>29090</v>
      </c>
      <c r="AL86" s="80">
        <v>28930</v>
      </c>
      <c r="AM86" s="80">
        <v>28760</v>
      </c>
      <c r="AN86" s="80">
        <v>28570</v>
      </c>
      <c r="AO86" s="80">
        <v>28390</v>
      </c>
      <c r="AP86" s="80">
        <v>28220</v>
      </c>
      <c r="AQ86" s="80">
        <v>28070</v>
      </c>
      <c r="AR86" s="80">
        <v>27960</v>
      </c>
      <c r="AS86" s="80">
        <v>27890</v>
      </c>
      <c r="AT86" s="80">
        <v>27860</v>
      </c>
      <c r="AU86" s="80">
        <v>27860</v>
      </c>
      <c r="AV86" s="80">
        <v>27900</v>
      </c>
      <c r="AW86" s="80">
        <v>27960</v>
      </c>
      <c r="AX86" s="80">
        <v>28030</v>
      </c>
      <c r="AY86" s="80">
        <v>28110</v>
      </c>
      <c r="AZ86" s="80">
        <v>28190</v>
      </c>
      <c r="BA86" s="80">
        <v>28270</v>
      </c>
      <c r="BB86" s="80">
        <v>28350</v>
      </c>
      <c r="BC86" s="80">
        <v>28420</v>
      </c>
      <c r="BD86" s="80">
        <v>28490</v>
      </c>
    </row>
    <row r="87" spans="3:56" x14ac:dyDescent="0.2">
      <c r="C87" s="28">
        <v>22</v>
      </c>
      <c r="E87" s="80">
        <v>30210</v>
      </c>
      <c r="F87" s="80">
        <v>31010</v>
      </c>
      <c r="G87" s="80">
        <v>30420</v>
      </c>
      <c r="H87" s="80">
        <v>30020</v>
      </c>
      <c r="I87" s="80">
        <v>29270</v>
      </c>
      <c r="J87" s="80">
        <v>29410</v>
      </c>
      <c r="K87" s="80">
        <v>28270</v>
      </c>
      <c r="L87" s="80">
        <v>26830</v>
      </c>
      <c r="M87" s="80">
        <v>26870</v>
      </c>
      <c r="N87" s="80">
        <v>27290</v>
      </c>
      <c r="O87" s="80">
        <v>27140</v>
      </c>
      <c r="P87" s="80">
        <v>27610</v>
      </c>
      <c r="Q87" s="80">
        <v>29000</v>
      </c>
      <c r="R87" s="80">
        <v>30090</v>
      </c>
      <c r="S87" s="80">
        <v>30420</v>
      </c>
      <c r="T87" s="80">
        <v>30590</v>
      </c>
      <c r="U87" s="80">
        <v>30060</v>
      </c>
      <c r="V87" s="80">
        <v>29680</v>
      </c>
      <c r="W87" s="80">
        <v>29440</v>
      </c>
      <c r="X87" s="80">
        <v>28880</v>
      </c>
      <c r="Y87" s="80">
        <v>28820</v>
      </c>
      <c r="Z87" s="80">
        <v>28680</v>
      </c>
      <c r="AA87" s="80">
        <v>29050</v>
      </c>
      <c r="AB87" s="80">
        <v>29560</v>
      </c>
      <c r="AC87" s="80">
        <v>30020</v>
      </c>
      <c r="AD87" s="80">
        <v>30410</v>
      </c>
      <c r="AE87" s="80">
        <v>30720</v>
      </c>
      <c r="AF87" s="80">
        <v>30930</v>
      </c>
      <c r="AG87" s="80">
        <v>31050</v>
      </c>
      <c r="AH87" s="80">
        <v>31120</v>
      </c>
      <c r="AI87" s="80">
        <v>31130</v>
      </c>
      <c r="AJ87" s="80">
        <v>31080</v>
      </c>
      <c r="AK87" s="80">
        <v>30990</v>
      </c>
      <c r="AL87" s="80">
        <v>30860</v>
      </c>
      <c r="AM87" s="80">
        <v>30700</v>
      </c>
      <c r="AN87" s="80">
        <v>30510</v>
      </c>
      <c r="AO87" s="80">
        <v>30310</v>
      </c>
      <c r="AP87" s="80">
        <v>30120</v>
      </c>
      <c r="AQ87" s="80">
        <v>29940</v>
      </c>
      <c r="AR87" s="80">
        <v>29780</v>
      </c>
      <c r="AS87" s="80">
        <v>29670</v>
      </c>
      <c r="AT87" s="80">
        <v>29590</v>
      </c>
      <c r="AU87" s="80">
        <v>29560</v>
      </c>
      <c r="AV87" s="80">
        <v>29560</v>
      </c>
      <c r="AW87" s="80">
        <v>29600</v>
      </c>
      <c r="AX87" s="80">
        <v>29670</v>
      </c>
      <c r="AY87" s="80">
        <v>29750</v>
      </c>
      <c r="AZ87" s="80">
        <v>29830</v>
      </c>
      <c r="BA87" s="80">
        <v>29920</v>
      </c>
      <c r="BB87" s="80">
        <v>30000</v>
      </c>
      <c r="BC87" s="80">
        <v>30080</v>
      </c>
      <c r="BD87" s="80">
        <v>30160</v>
      </c>
    </row>
    <row r="88" spans="3:56" x14ac:dyDescent="0.2">
      <c r="C88" s="28">
        <v>23</v>
      </c>
      <c r="E88" s="80">
        <v>31410</v>
      </c>
      <c r="F88" s="80">
        <v>32520</v>
      </c>
      <c r="G88" s="80">
        <v>33110</v>
      </c>
      <c r="H88" s="80">
        <v>32250</v>
      </c>
      <c r="I88" s="80">
        <v>31590</v>
      </c>
      <c r="J88" s="80">
        <v>30550</v>
      </c>
      <c r="K88" s="80">
        <v>30710</v>
      </c>
      <c r="L88" s="80">
        <v>29530</v>
      </c>
      <c r="M88" s="80">
        <v>28040</v>
      </c>
      <c r="N88" s="80">
        <v>28090</v>
      </c>
      <c r="O88" s="80">
        <v>28530</v>
      </c>
      <c r="P88" s="80">
        <v>28380</v>
      </c>
      <c r="Q88" s="80">
        <v>28870</v>
      </c>
      <c r="R88" s="80">
        <v>30330</v>
      </c>
      <c r="S88" s="80">
        <v>31470</v>
      </c>
      <c r="T88" s="80">
        <v>31820</v>
      </c>
      <c r="U88" s="80">
        <v>32000</v>
      </c>
      <c r="V88" s="80">
        <v>31450</v>
      </c>
      <c r="W88" s="80">
        <v>31060</v>
      </c>
      <c r="X88" s="80">
        <v>30810</v>
      </c>
      <c r="Y88" s="80">
        <v>30220</v>
      </c>
      <c r="Z88" s="80">
        <v>30160</v>
      </c>
      <c r="AA88" s="80">
        <v>30020</v>
      </c>
      <c r="AB88" s="80">
        <v>30410</v>
      </c>
      <c r="AC88" s="80">
        <v>30940</v>
      </c>
      <c r="AD88" s="80">
        <v>31420</v>
      </c>
      <c r="AE88" s="80">
        <v>31840</v>
      </c>
      <c r="AF88" s="80">
        <v>32160</v>
      </c>
      <c r="AG88" s="80">
        <v>32380</v>
      </c>
      <c r="AH88" s="80">
        <v>32510</v>
      </c>
      <c r="AI88" s="80">
        <v>32580</v>
      </c>
      <c r="AJ88" s="80">
        <v>32590</v>
      </c>
      <c r="AK88" s="80">
        <v>32540</v>
      </c>
      <c r="AL88" s="80">
        <v>32450</v>
      </c>
      <c r="AM88" s="80">
        <v>32310</v>
      </c>
      <c r="AN88" s="80">
        <v>32140</v>
      </c>
      <c r="AO88" s="80">
        <v>31950</v>
      </c>
      <c r="AP88" s="80">
        <v>31740</v>
      </c>
      <c r="AQ88" s="80">
        <v>31540</v>
      </c>
      <c r="AR88" s="80">
        <v>31350</v>
      </c>
      <c r="AS88" s="80">
        <v>31190</v>
      </c>
      <c r="AT88" s="80">
        <v>31070</v>
      </c>
      <c r="AU88" s="80">
        <v>30990</v>
      </c>
      <c r="AV88" s="80">
        <v>30950</v>
      </c>
      <c r="AW88" s="80">
        <v>30960</v>
      </c>
      <c r="AX88" s="80">
        <v>31000</v>
      </c>
      <c r="AY88" s="80">
        <v>31070</v>
      </c>
      <c r="AZ88" s="80">
        <v>31150</v>
      </c>
      <c r="BA88" s="80">
        <v>31240</v>
      </c>
      <c r="BB88" s="80">
        <v>31330</v>
      </c>
      <c r="BC88" s="80">
        <v>31420</v>
      </c>
      <c r="BD88" s="80">
        <v>31510</v>
      </c>
    </row>
    <row r="89" spans="3:56" x14ac:dyDescent="0.2">
      <c r="C89" s="28">
        <v>24</v>
      </c>
      <c r="E89" s="80">
        <v>33120</v>
      </c>
      <c r="F89" s="80">
        <v>33490</v>
      </c>
      <c r="G89" s="80">
        <v>34380</v>
      </c>
      <c r="H89" s="80">
        <v>34740</v>
      </c>
      <c r="I89" s="80">
        <v>33590</v>
      </c>
      <c r="J89" s="80">
        <v>32650</v>
      </c>
      <c r="K89" s="80">
        <v>31590</v>
      </c>
      <c r="L89" s="80">
        <v>31760</v>
      </c>
      <c r="M89" s="80">
        <v>30560</v>
      </c>
      <c r="N89" s="80">
        <v>29020</v>
      </c>
      <c r="O89" s="80">
        <v>29080</v>
      </c>
      <c r="P89" s="80">
        <v>29540</v>
      </c>
      <c r="Q89" s="80">
        <v>29390</v>
      </c>
      <c r="R89" s="80">
        <v>29910</v>
      </c>
      <c r="S89" s="80">
        <v>31420</v>
      </c>
      <c r="T89" s="80">
        <v>32610</v>
      </c>
      <c r="U89" s="80">
        <v>32970</v>
      </c>
      <c r="V89" s="80">
        <v>33160</v>
      </c>
      <c r="W89" s="80">
        <v>32590</v>
      </c>
      <c r="X89" s="80">
        <v>32200</v>
      </c>
      <c r="Y89" s="80">
        <v>31940</v>
      </c>
      <c r="Z89" s="80">
        <v>31340</v>
      </c>
      <c r="AA89" s="80">
        <v>31270</v>
      </c>
      <c r="AB89" s="80">
        <v>31130</v>
      </c>
      <c r="AC89" s="80">
        <v>31530</v>
      </c>
      <c r="AD89" s="80">
        <v>32090</v>
      </c>
      <c r="AE89" s="80">
        <v>32590</v>
      </c>
      <c r="AF89" s="80">
        <v>33010</v>
      </c>
      <c r="AG89" s="80">
        <v>33350</v>
      </c>
      <c r="AH89" s="80">
        <v>33580</v>
      </c>
      <c r="AI89" s="80">
        <v>33720</v>
      </c>
      <c r="AJ89" s="80">
        <v>33790</v>
      </c>
      <c r="AK89" s="80">
        <v>33800</v>
      </c>
      <c r="AL89" s="80">
        <v>33750</v>
      </c>
      <c r="AM89" s="80">
        <v>33660</v>
      </c>
      <c r="AN89" s="80">
        <v>33520</v>
      </c>
      <c r="AO89" s="80">
        <v>33340</v>
      </c>
      <c r="AP89" s="80">
        <v>33140</v>
      </c>
      <c r="AQ89" s="80">
        <v>32930</v>
      </c>
      <c r="AR89" s="80">
        <v>32720</v>
      </c>
      <c r="AS89" s="80">
        <v>32520</v>
      </c>
      <c r="AT89" s="80">
        <v>32350</v>
      </c>
      <c r="AU89" s="80">
        <v>32230</v>
      </c>
      <c r="AV89" s="80">
        <v>32150</v>
      </c>
      <c r="AW89" s="80">
        <v>32110</v>
      </c>
      <c r="AX89" s="80">
        <v>32120</v>
      </c>
      <c r="AY89" s="80">
        <v>32160</v>
      </c>
      <c r="AZ89" s="80">
        <v>32230</v>
      </c>
      <c r="BA89" s="80">
        <v>32320</v>
      </c>
      <c r="BB89" s="80">
        <v>32410</v>
      </c>
      <c r="BC89" s="80">
        <v>32500</v>
      </c>
      <c r="BD89" s="80">
        <v>32600</v>
      </c>
    </row>
    <row r="90" spans="3:56" x14ac:dyDescent="0.2">
      <c r="C90" s="28">
        <v>25</v>
      </c>
      <c r="E90" s="80">
        <v>33820</v>
      </c>
      <c r="F90" s="80">
        <v>35020</v>
      </c>
      <c r="G90" s="80">
        <v>35150</v>
      </c>
      <c r="H90" s="80">
        <v>35820</v>
      </c>
      <c r="I90" s="80">
        <v>35930</v>
      </c>
      <c r="J90" s="80">
        <v>34510</v>
      </c>
      <c r="K90" s="80">
        <v>33550</v>
      </c>
      <c r="L90" s="80">
        <v>32480</v>
      </c>
      <c r="M90" s="80">
        <v>32660</v>
      </c>
      <c r="N90" s="80">
        <v>31430</v>
      </c>
      <c r="O90" s="80">
        <v>29860</v>
      </c>
      <c r="P90" s="80">
        <v>29930</v>
      </c>
      <c r="Q90" s="80">
        <v>30410</v>
      </c>
      <c r="R90" s="80">
        <v>30260</v>
      </c>
      <c r="S90" s="80">
        <v>30790</v>
      </c>
      <c r="T90" s="80">
        <v>32350</v>
      </c>
      <c r="U90" s="80">
        <v>33580</v>
      </c>
      <c r="V90" s="80">
        <v>33960</v>
      </c>
      <c r="W90" s="80">
        <v>34160</v>
      </c>
      <c r="X90" s="80">
        <v>33570</v>
      </c>
      <c r="Y90" s="80">
        <v>33170</v>
      </c>
      <c r="Z90" s="80">
        <v>32910</v>
      </c>
      <c r="AA90" s="80">
        <v>32290</v>
      </c>
      <c r="AB90" s="80">
        <v>32230</v>
      </c>
      <c r="AC90" s="80">
        <v>32080</v>
      </c>
      <c r="AD90" s="80">
        <v>32500</v>
      </c>
      <c r="AE90" s="80">
        <v>33070</v>
      </c>
      <c r="AF90" s="80">
        <v>33590</v>
      </c>
      <c r="AG90" s="80">
        <v>34030</v>
      </c>
      <c r="AH90" s="80">
        <v>34380</v>
      </c>
      <c r="AI90" s="80">
        <v>34610</v>
      </c>
      <c r="AJ90" s="80">
        <v>34760</v>
      </c>
      <c r="AK90" s="80">
        <v>34830</v>
      </c>
      <c r="AL90" s="80">
        <v>34840</v>
      </c>
      <c r="AM90" s="80">
        <v>34790</v>
      </c>
      <c r="AN90" s="80">
        <v>34690</v>
      </c>
      <c r="AO90" s="80">
        <v>34550</v>
      </c>
      <c r="AP90" s="80">
        <v>34370</v>
      </c>
      <c r="AQ90" s="80">
        <v>34160</v>
      </c>
      <c r="AR90" s="80">
        <v>33940</v>
      </c>
      <c r="AS90" s="80">
        <v>33730</v>
      </c>
      <c r="AT90" s="80">
        <v>33530</v>
      </c>
      <c r="AU90" s="80">
        <v>33350</v>
      </c>
      <c r="AV90" s="80">
        <v>33220</v>
      </c>
      <c r="AW90" s="80">
        <v>33140</v>
      </c>
      <c r="AX90" s="80">
        <v>33100</v>
      </c>
      <c r="AY90" s="80">
        <v>33110</v>
      </c>
      <c r="AZ90" s="80">
        <v>33160</v>
      </c>
      <c r="BA90" s="80">
        <v>33230</v>
      </c>
      <c r="BB90" s="80">
        <v>33320</v>
      </c>
      <c r="BC90" s="80">
        <v>33410</v>
      </c>
      <c r="BD90" s="80">
        <v>33510</v>
      </c>
    </row>
    <row r="91" spans="3:56" x14ac:dyDescent="0.2">
      <c r="C91" s="28">
        <v>26</v>
      </c>
      <c r="E91" s="80">
        <v>34450</v>
      </c>
      <c r="F91" s="80">
        <v>35440</v>
      </c>
      <c r="G91" s="80">
        <v>36420</v>
      </c>
      <c r="H91" s="80">
        <v>36310</v>
      </c>
      <c r="I91" s="80">
        <v>36750</v>
      </c>
      <c r="J91" s="80">
        <v>36620</v>
      </c>
      <c r="K91" s="80">
        <v>35160</v>
      </c>
      <c r="L91" s="80">
        <v>34190</v>
      </c>
      <c r="M91" s="80">
        <v>33090</v>
      </c>
      <c r="N91" s="80">
        <v>33270</v>
      </c>
      <c r="O91" s="80">
        <v>32010</v>
      </c>
      <c r="P91" s="80">
        <v>30410</v>
      </c>
      <c r="Q91" s="80">
        <v>30470</v>
      </c>
      <c r="R91" s="80">
        <v>30960</v>
      </c>
      <c r="S91" s="80">
        <v>30810</v>
      </c>
      <c r="T91" s="80">
        <v>31350</v>
      </c>
      <c r="U91" s="80">
        <v>32920</v>
      </c>
      <c r="V91" s="80">
        <v>34170</v>
      </c>
      <c r="W91" s="80">
        <v>34550</v>
      </c>
      <c r="X91" s="80">
        <v>34750</v>
      </c>
      <c r="Y91" s="80">
        <v>34150</v>
      </c>
      <c r="Z91" s="80">
        <v>33740</v>
      </c>
      <c r="AA91" s="80">
        <v>33470</v>
      </c>
      <c r="AB91" s="80">
        <v>32840</v>
      </c>
      <c r="AC91" s="80">
        <v>32780</v>
      </c>
      <c r="AD91" s="80">
        <v>32630</v>
      </c>
      <c r="AE91" s="80">
        <v>33050</v>
      </c>
      <c r="AF91" s="80">
        <v>33630</v>
      </c>
      <c r="AG91" s="80">
        <v>34150</v>
      </c>
      <c r="AH91" s="80">
        <v>34590</v>
      </c>
      <c r="AI91" s="80">
        <v>34950</v>
      </c>
      <c r="AJ91" s="80">
        <v>35190</v>
      </c>
      <c r="AK91" s="80">
        <v>35330</v>
      </c>
      <c r="AL91" s="80">
        <v>35410</v>
      </c>
      <c r="AM91" s="80">
        <v>35420</v>
      </c>
      <c r="AN91" s="80">
        <v>35370</v>
      </c>
      <c r="AO91" s="80">
        <v>35260</v>
      </c>
      <c r="AP91" s="80">
        <v>35120</v>
      </c>
      <c r="AQ91" s="80">
        <v>34930</v>
      </c>
      <c r="AR91" s="80">
        <v>34720</v>
      </c>
      <c r="AS91" s="80">
        <v>34500</v>
      </c>
      <c r="AT91" s="80">
        <v>34280</v>
      </c>
      <c r="AU91" s="80">
        <v>34080</v>
      </c>
      <c r="AV91" s="80">
        <v>33910</v>
      </c>
      <c r="AW91" s="80">
        <v>33770</v>
      </c>
      <c r="AX91" s="80">
        <v>33690</v>
      </c>
      <c r="AY91" s="80">
        <v>33650</v>
      </c>
      <c r="AZ91" s="80">
        <v>33660</v>
      </c>
      <c r="BA91" s="80">
        <v>33710</v>
      </c>
      <c r="BB91" s="80">
        <v>33780</v>
      </c>
      <c r="BC91" s="80">
        <v>33870</v>
      </c>
      <c r="BD91" s="80">
        <v>33960</v>
      </c>
    </row>
    <row r="92" spans="3:56" x14ac:dyDescent="0.2">
      <c r="C92" s="28">
        <v>27</v>
      </c>
      <c r="E92" s="80">
        <v>33170</v>
      </c>
      <c r="F92" s="80">
        <v>35700</v>
      </c>
      <c r="G92" s="80">
        <v>36470</v>
      </c>
      <c r="H92" s="80">
        <v>37230</v>
      </c>
      <c r="I92" s="80">
        <v>36890</v>
      </c>
      <c r="J92" s="80">
        <v>37100</v>
      </c>
      <c r="K92" s="80">
        <v>36960</v>
      </c>
      <c r="L92" s="80">
        <v>35470</v>
      </c>
      <c r="M92" s="80">
        <v>34480</v>
      </c>
      <c r="N92" s="80">
        <v>33360</v>
      </c>
      <c r="O92" s="80">
        <v>33530</v>
      </c>
      <c r="P92" s="80">
        <v>32260</v>
      </c>
      <c r="Q92" s="80">
        <v>30640</v>
      </c>
      <c r="R92" s="80">
        <v>30690</v>
      </c>
      <c r="S92" s="80">
        <v>31170</v>
      </c>
      <c r="T92" s="80">
        <v>31010</v>
      </c>
      <c r="U92" s="80">
        <v>31540</v>
      </c>
      <c r="V92" s="80">
        <v>33120</v>
      </c>
      <c r="W92" s="80">
        <v>34360</v>
      </c>
      <c r="X92" s="80">
        <v>34730</v>
      </c>
      <c r="Y92" s="80">
        <v>34930</v>
      </c>
      <c r="Z92" s="80">
        <v>34330</v>
      </c>
      <c r="AA92" s="80">
        <v>33910</v>
      </c>
      <c r="AB92" s="80">
        <v>33640</v>
      </c>
      <c r="AC92" s="80">
        <v>33000</v>
      </c>
      <c r="AD92" s="80">
        <v>32930</v>
      </c>
      <c r="AE92" s="80">
        <v>32780</v>
      </c>
      <c r="AF92" s="80">
        <v>33200</v>
      </c>
      <c r="AG92" s="80">
        <v>33770</v>
      </c>
      <c r="AH92" s="80">
        <v>34290</v>
      </c>
      <c r="AI92" s="80">
        <v>34740</v>
      </c>
      <c r="AJ92" s="80">
        <v>35090</v>
      </c>
      <c r="AK92" s="80">
        <v>35330</v>
      </c>
      <c r="AL92" s="80">
        <v>35470</v>
      </c>
      <c r="AM92" s="80">
        <v>35550</v>
      </c>
      <c r="AN92" s="80">
        <v>35550</v>
      </c>
      <c r="AO92" s="80">
        <v>35500</v>
      </c>
      <c r="AP92" s="80">
        <v>35400</v>
      </c>
      <c r="AQ92" s="80">
        <v>35250</v>
      </c>
      <c r="AR92" s="80">
        <v>35070</v>
      </c>
      <c r="AS92" s="80">
        <v>34860</v>
      </c>
      <c r="AT92" s="80">
        <v>34640</v>
      </c>
      <c r="AU92" s="80">
        <v>34420</v>
      </c>
      <c r="AV92" s="80">
        <v>34210</v>
      </c>
      <c r="AW92" s="80">
        <v>34040</v>
      </c>
      <c r="AX92" s="80">
        <v>33910</v>
      </c>
      <c r="AY92" s="80">
        <v>33820</v>
      </c>
      <c r="AZ92" s="80">
        <v>33790</v>
      </c>
      <c r="BA92" s="80">
        <v>33790</v>
      </c>
      <c r="BB92" s="80">
        <v>33840</v>
      </c>
      <c r="BC92" s="80">
        <v>33910</v>
      </c>
      <c r="BD92" s="80">
        <v>34000</v>
      </c>
    </row>
    <row r="93" spans="3:56" x14ac:dyDescent="0.2">
      <c r="C93" s="28">
        <v>28</v>
      </c>
      <c r="E93" s="80">
        <v>31680</v>
      </c>
      <c r="F93" s="80">
        <v>34400</v>
      </c>
      <c r="G93" s="80">
        <v>36770</v>
      </c>
      <c r="H93" s="80">
        <v>37350</v>
      </c>
      <c r="I93" s="80">
        <v>37920</v>
      </c>
      <c r="J93" s="80">
        <v>37390</v>
      </c>
      <c r="K93" s="80">
        <v>37600</v>
      </c>
      <c r="L93" s="80">
        <v>37440</v>
      </c>
      <c r="M93" s="80">
        <v>35940</v>
      </c>
      <c r="N93" s="80">
        <v>34930</v>
      </c>
      <c r="O93" s="80">
        <v>33800</v>
      </c>
      <c r="P93" s="80">
        <v>33960</v>
      </c>
      <c r="Q93" s="80">
        <v>32680</v>
      </c>
      <c r="R93" s="80">
        <v>31040</v>
      </c>
      <c r="S93" s="80">
        <v>31090</v>
      </c>
      <c r="T93" s="80">
        <v>31570</v>
      </c>
      <c r="U93" s="80">
        <v>31400</v>
      </c>
      <c r="V93" s="80">
        <v>31930</v>
      </c>
      <c r="W93" s="80">
        <v>33510</v>
      </c>
      <c r="X93" s="80">
        <v>34750</v>
      </c>
      <c r="Y93" s="80">
        <v>35120</v>
      </c>
      <c r="Z93" s="80">
        <v>35310</v>
      </c>
      <c r="AA93" s="80">
        <v>34710</v>
      </c>
      <c r="AB93" s="80">
        <v>34280</v>
      </c>
      <c r="AC93" s="80">
        <v>34010</v>
      </c>
      <c r="AD93" s="80">
        <v>33370</v>
      </c>
      <c r="AE93" s="80">
        <v>33300</v>
      </c>
      <c r="AF93" s="80">
        <v>33140</v>
      </c>
      <c r="AG93" s="80">
        <v>33560</v>
      </c>
      <c r="AH93" s="80">
        <v>34140</v>
      </c>
      <c r="AI93" s="80">
        <v>34660</v>
      </c>
      <c r="AJ93" s="80">
        <v>35100</v>
      </c>
      <c r="AK93" s="80">
        <v>35450</v>
      </c>
      <c r="AL93" s="80">
        <v>35690</v>
      </c>
      <c r="AM93" s="80">
        <v>35830</v>
      </c>
      <c r="AN93" s="80">
        <v>35910</v>
      </c>
      <c r="AO93" s="80">
        <v>35920</v>
      </c>
      <c r="AP93" s="80">
        <v>35860</v>
      </c>
      <c r="AQ93" s="80">
        <v>35760</v>
      </c>
      <c r="AR93" s="80">
        <v>35610</v>
      </c>
      <c r="AS93" s="80">
        <v>35430</v>
      </c>
      <c r="AT93" s="80">
        <v>35220</v>
      </c>
      <c r="AU93" s="80">
        <v>34990</v>
      </c>
      <c r="AV93" s="80">
        <v>34770</v>
      </c>
      <c r="AW93" s="80">
        <v>34570</v>
      </c>
      <c r="AX93" s="80">
        <v>34400</v>
      </c>
      <c r="AY93" s="80">
        <v>34260</v>
      </c>
      <c r="AZ93" s="80">
        <v>34180</v>
      </c>
      <c r="BA93" s="80">
        <v>34140</v>
      </c>
      <c r="BB93" s="80">
        <v>34150</v>
      </c>
      <c r="BC93" s="80">
        <v>34200</v>
      </c>
      <c r="BD93" s="80">
        <v>34270</v>
      </c>
    </row>
    <row r="94" spans="3:56" x14ac:dyDescent="0.2">
      <c r="C94" s="28">
        <v>29</v>
      </c>
      <c r="E94" s="80">
        <v>30410</v>
      </c>
      <c r="F94" s="80">
        <v>32890</v>
      </c>
      <c r="G94" s="80">
        <v>35490</v>
      </c>
      <c r="H94" s="80">
        <v>37720</v>
      </c>
      <c r="I94" s="80">
        <v>38160</v>
      </c>
      <c r="J94" s="80">
        <v>38590</v>
      </c>
      <c r="K94" s="80">
        <v>38050</v>
      </c>
      <c r="L94" s="80">
        <v>38250</v>
      </c>
      <c r="M94" s="80">
        <v>38090</v>
      </c>
      <c r="N94" s="80">
        <v>36570</v>
      </c>
      <c r="O94" s="80">
        <v>35550</v>
      </c>
      <c r="P94" s="80">
        <v>34410</v>
      </c>
      <c r="Q94" s="80">
        <v>34570</v>
      </c>
      <c r="R94" s="80">
        <v>33270</v>
      </c>
      <c r="S94" s="80">
        <v>31630</v>
      </c>
      <c r="T94" s="80">
        <v>31670</v>
      </c>
      <c r="U94" s="80">
        <v>32150</v>
      </c>
      <c r="V94" s="80">
        <v>31980</v>
      </c>
      <c r="W94" s="80">
        <v>32510</v>
      </c>
      <c r="X94" s="80">
        <v>34100</v>
      </c>
      <c r="Y94" s="80">
        <v>35340</v>
      </c>
      <c r="Z94" s="80">
        <v>35720</v>
      </c>
      <c r="AA94" s="80">
        <v>35910</v>
      </c>
      <c r="AB94" s="80">
        <v>35300</v>
      </c>
      <c r="AC94" s="80">
        <v>34870</v>
      </c>
      <c r="AD94" s="80">
        <v>34590</v>
      </c>
      <c r="AE94" s="80">
        <v>33950</v>
      </c>
      <c r="AF94" s="80">
        <v>33880</v>
      </c>
      <c r="AG94" s="80">
        <v>33720</v>
      </c>
      <c r="AH94" s="80">
        <v>34140</v>
      </c>
      <c r="AI94" s="80">
        <v>34720</v>
      </c>
      <c r="AJ94" s="80">
        <v>35240</v>
      </c>
      <c r="AK94" s="80">
        <v>35690</v>
      </c>
      <c r="AL94" s="80">
        <v>36040</v>
      </c>
      <c r="AM94" s="80">
        <v>36280</v>
      </c>
      <c r="AN94" s="80">
        <v>36420</v>
      </c>
      <c r="AO94" s="80">
        <v>36500</v>
      </c>
      <c r="AP94" s="80">
        <v>36500</v>
      </c>
      <c r="AQ94" s="80">
        <v>36450</v>
      </c>
      <c r="AR94" s="80">
        <v>36350</v>
      </c>
      <c r="AS94" s="80">
        <v>36200</v>
      </c>
      <c r="AT94" s="80">
        <v>36010</v>
      </c>
      <c r="AU94" s="80">
        <v>35800</v>
      </c>
      <c r="AV94" s="80">
        <v>35580</v>
      </c>
      <c r="AW94" s="80">
        <v>35360</v>
      </c>
      <c r="AX94" s="80">
        <v>35150</v>
      </c>
      <c r="AY94" s="80">
        <v>34980</v>
      </c>
      <c r="AZ94" s="80">
        <v>34840</v>
      </c>
      <c r="BA94" s="80">
        <v>34760</v>
      </c>
      <c r="BB94" s="80">
        <v>34720</v>
      </c>
      <c r="BC94" s="80">
        <v>34730</v>
      </c>
      <c r="BD94" s="80">
        <v>34780</v>
      </c>
    </row>
    <row r="95" spans="3:56" x14ac:dyDescent="0.2">
      <c r="C95" s="28">
        <v>30</v>
      </c>
      <c r="E95" s="80">
        <v>29460</v>
      </c>
      <c r="F95" s="80">
        <v>31460</v>
      </c>
      <c r="G95" s="80">
        <v>33810</v>
      </c>
      <c r="H95" s="80">
        <v>36270</v>
      </c>
      <c r="I95" s="80">
        <v>38370</v>
      </c>
      <c r="J95" s="80">
        <v>38670</v>
      </c>
      <c r="K95" s="80">
        <v>39090</v>
      </c>
      <c r="L95" s="80">
        <v>38540</v>
      </c>
      <c r="M95" s="80">
        <v>38740</v>
      </c>
      <c r="N95" s="80">
        <v>38570</v>
      </c>
      <c r="O95" s="80">
        <v>37040</v>
      </c>
      <c r="P95" s="80">
        <v>36010</v>
      </c>
      <c r="Q95" s="80">
        <v>34860</v>
      </c>
      <c r="R95" s="80">
        <v>35020</v>
      </c>
      <c r="S95" s="80">
        <v>33720</v>
      </c>
      <c r="T95" s="80">
        <v>32060</v>
      </c>
      <c r="U95" s="80">
        <v>32100</v>
      </c>
      <c r="V95" s="80">
        <v>32580</v>
      </c>
      <c r="W95" s="80">
        <v>32410</v>
      </c>
      <c r="X95" s="80">
        <v>32940</v>
      </c>
      <c r="Y95" s="80">
        <v>34520</v>
      </c>
      <c r="Z95" s="80">
        <v>35770</v>
      </c>
      <c r="AA95" s="80">
        <v>36140</v>
      </c>
      <c r="AB95" s="80">
        <v>36330</v>
      </c>
      <c r="AC95" s="80">
        <v>35720</v>
      </c>
      <c r="AD95" s="80">
        <v>35290</v>
      </c>
      <c r="AE95" s="80">
        <v>35010</v>
      </c>
      <c r="AF95" s="80">
        <v>34360</v>
      </c>
      <c r="AG95" s="80">
        <v>34290</v>
      </c>
      <c r="AH95" s="80">
        <v>34130</v>
      </c>
      <c r="AI95" s="80">
        <v>34550</v>
      </c>
      <c r="AJ95" s="80">
        <v>35130</v>
      </c>
      <c r="AK95" s="80">
        <v>35650</v>
      </c>
      <c r="AL95" s="80">
        <v>36100</v>
      </c>
      <c r="AM95" s="80">
        <v>36450</v>
      </c>
      <c r="AN95" s="80">
        <v>36690</v>
      </c>
      <c r="AO95" s="80">
        <v>36830</v>
      </c>
      <c r="AP95" s="80">
        <v>36910</v>
      </c>
      <c r="AQ95" s="80">
        <v>36920</v>
      </c>
      <c r="AR95" s="80">
        <v>36860</v>
      </c>
      <c r="AS95" s="80">
        <v>36760</v>
      </c>
      <c r="AT95" s="80">
        <v>36610</v>
      </c>
      <c r="AU95" s="80">
        <v>36420</v>
      </c>
      <c r="AV95" s="80">
        <v>36210</v>
      </c>
      <c r="AW95" s="80">
        <v>35990</v>
      </c>
      <c r="AX95" s="80">
        <v>35770</v>
      </c>
      <c r="AY95" s="80">
        <v>35560</v>
      </c>
      <c r="AZ95" s="80">
        <v>35390</v>
      </c>
      <c r="BA95" s="80">
        <v>35250</v>
      </c>
      <c r="BB95" s="80">
        <v>35170</v>
      </c>
      <c r="BC95" s="80">
        <v>35130</v>
      </c>
      <c r="BD95" s="80">
        <v>35140</v>
      </c>
    </row>
    <row r="96" spans="3:56" x14ac:dyDescent="0.2">
      <c r="C96" s="28">
        <v>31</v>
      </c>
      <c r="E96" s="80">
        <v>28530</v>
      </c>
      <c r="F96" s="80">
        <v>30370</v>
      </c>
      <c r="G96" s="80">
        <v>32240</v>
      </c>
      <c r="H96" s="80">
        <v>34470</v>
      </c>
      <c r="I96" s="80">
        <v>36820</v>
      </c>
      <c r="J96" s="80">
        <v>38800</v>
      </c>
      <c r="K96" s="80">
        <v>39090</v>
      </c>
      <c r="L96" s="80">
        <v>39510</v>
      </c>
      <c r="M96" s="80">
        <v>38950</v>
      </c>
      <c r="N96" s="80">
        <v>39140</v>
      </c>
      <c r="O96" s="80">
        <v>38970</v>
      </c>
      <c r="P96" s="80">
        <v>37440</v>
      </c>
      <c r="Q96" s="80">
        <v>36400</v>
      </c>
      <c r="R96" s="80">
        <v>35240</v>
      </c>
      <c r="S96" s="80">
        <v>35400</v>
      </c>
      <c r="T96" s="80">
        <v>34090</v>
      </c>
      <c r="U96" s="80">
        <v>32430</v>
      </c>
      <c r="V96" s="80">
        <v>32470</v>
      </c>
      <c r="W96" s="80">
        <v>32940</v>
      </c>
      <c r="X96" s="80">
        <v>32770</v>
      </c>
      <c r="Y96" s="80">
        <v>33300</v>
      </c>
      <c r="Z96" s="80">
        <v>34890</v>
      </c>
      <c r="AA96" s="80">
        <v>36130</v>
      </c>
      <c r="AB96" s="80">
        <v>36500</v>
      </c>
      <c r="AC96" s="80">
        <v>36690</v>
      </c>
      <c r="AD96" s="80">
        <v>36080</v>
      </c>
      <c r="AE96" s="80">
        <v>35650</v>
      </c>
      <c r="AF96" s="80">
        <v>35360</v>
      </c>
      <c r="AG96" s="80">
        <v>34710</v>
      </c>
      <c r="AH96" s="80">
        <v>34640</v>
      </c>
      <c r="AI96" s="80">
        <v>34480</v>
      </c>
      <c r="AJ96" s="80">
        <v>34900</v>
      </c>
      <c r="AK96" s="80">
        <v>35480</v>
      </c>
      <c r="AL96" s="80">
        <v>36000</v>
      </c>
      <c r="AM96" s="80">
        <v>36450</v>
      </c>
      <c r="AN96" s="80">
        <v>36810</v>
      </c>
      <c r="AO96" s="80">
        <v>37040</v>
      </c>
      <c r="AP96" s="80">
        <v>37190</v>
      </c>
      <c r="AQ96" s="80">
        <v>37260</v>
      </c>
      <c r="AR96" s="80">
        <v>37270</v>
      </c>
      <c r="AS96" s="80">
        <v>37220</v>
      </c>
      <c r="AT96" s="80">
        <v>37110</v>
      </c>
      <c r="AU96" s="80">
        <v>36960</v>
      </c>
      <c r="AV96" s="80">
        <v>36780</v>
      </c>
      <c r="AW96" s="80">
        <v>36560</v>
      </c>
      <c r="AX96" s="80">
        <v>36340</v>
      </c>
      <c r="AY96" s="80">
        <v>36120</v>
      </c>
      <c r="AZ96" s="80">
        <v>35910</v>
      </c>
      <c r="BA96" s="80">
        <v>35740</v>
      </c>
      <c r="BB96" s="80">
        <v>35600</v>
      </c>
      <c r="BC96" s="80">
        <v>35520</v>
      </c>
      <c r="BD96" s="80">
        <v>35480</v>
      </c>
    </row>
    <row r="97" spans="3:56" x14ac:dyDescent="0.2">
      <c r="C97" s="28">
        <v>32</v>
      </c>
      <c r="E97" s="80">
        <v>27600</v>
      </c>
      <c r="F97" s="80">
        <v>29230</v>
      </c>
      <c r="G97" s="80">
        <v>30970</v>
      </c>
      <c r="H97" s="80">
        <v>32750</v>
      </c>
      <c r="I97" s="80">
        <v>34880</v>
      </c>
      <c r="J97" s="80">
        <v>37130</v>
      </c>
      <c r="K97" s="80">
        <v>39110</v>
      </c>
      <c r="L97" s="80">
        <v>39400</v>
      </c>
      <c r="M97" s="80">
        <v>39820</v>
      </c>
      <c r="N97" s="80">
        <v>39250</v>
      </c>
      <c r="O97" s="80">
        <v>39440</v>
      </c>
      <c r="P97" s="80">
        <v>39260</v>
      </c>
      <c r="Q97" s="80">
        <v>37720</v>
      </c>
      <c r="R97" s="80">
        <v>36680</v>
      </c>
      <c r="S97" s="80">
        <v>35520</v>
      </c>
      <c r="T97" s="80">
        <v>35670</v>
      </c>
      <c r="U97" s="80">
        <v>34350</v>
      </c>
      <c r="V97" s="80">
        <v>32690</v>
      </c>
      <c r="W97" s="80">
        <v>32720</v>
      </c>
      <c r="X97" s="80">
        <v>33200</v>
      </c>
      <c r="Y97" s="80">
        <v>33020</v>
      </c>
      <c r="Z97" s="80">
        <v>33550</v>
      </c>
      <c r="AA97" s="80">
        <v>35140</v>
      </c>
      <c r="AB97" s="80">
        <v>36390</v>
      </c>
      <c r="AC97" s="80">
        <v>36760</v>
      </c>
      <c r="AD97" s="80">
        <v>36950</v>
      </c>
      <c r="AE97" s="80">
        <v>36330</v>
      </c>
      <c r="AF97" s="80">
        <v>35900</v>
      </c>
      <c r="AG97" s="80">
        <v>35620</v>
      </c>
      <c r="AH97" s="80">
        <v>34970</v>
      </c>
      <c r="AI97" s="80">
        <v>34890</v>
      </c>
      <c r="AJ97" s="80">
        <v>34730</v>
      </c>
      <c r="AK97" s="80">
        <v>35150</v>
      </c>
      <c r="AL97" s="80">
        <v>35730</v>
      </c>
      <c r="AM97" s="80">
        <v>36260</v>
      </c>
      <c r="AN97" s="80">
        <v>36700</v>
      </c>
      <c r="AO97" s="80">
        <v>37060</v>
      </c>
      <c r="AP97" s="80">
        <v>37300</v>
      </c>
      <c r="AQ97" s="80">
        <v>37440</v>
      </c>
      <c r="AR97" s="80">
        <v>37520</v>
      </c>
      <c r="AS97" s="80">
        <v>37520</v>
      </c>
      <c r="AT97" s="80">
        <v>37470</v>
      </c>
      <c r="AU97" s="80">
        <v>37360</v>
      </c>
      <c r="AV97" s="80">
        <v>37210</v>
      </c>
      <c r="AW97" s="80">
        <v>37030</v>
      </c>
      <c r="AX97" s="80">
        <v>36820</v>
      </c>
      <c r="AY97" s="80">
        <v>36590</v>
      </c>
      <c r="AZ97" s="80">
        <v>36370</v>
      </c>
      <c r="BA97" s="80">
        <v>36160</v>
      </c>
      <c r="BB97" s="80">
        <v>35990</v>
      </c>
      <c r="BC97" s="80">
        <v>35850</v>
      </c>
      <c r="BD97" s="80">
        <v>35770</v>
      </c>
    </row>
    <row r="98" spans="3:56" x14ac:dyDescent="0.2">
      <c r="C98" s="28">
        <v>33</v>
      </c>
      <c r="E98" s="80">
        <v>27330</v>
      </c>
      <c r="F98" s="80">
        <v>28140</v>
      </c>
      <c r="G98" s="80">
        <v>29690</v>
      </c>
      <c r="H98" s="80">
        <v>31340</v>
      </c>
      <c r="I98" s="80">
        <v>33030</v>
      </c>
      <c r="J98" s="80">
        <v>35070</v>
      </c>
      <c r="K98" s="80">
        <v>37320</v>
      </c>
      <c r="L98" s="80">
        <v>39300</v>
      </c>
      <c r="M98" s="80">
        <v>39580</v>
      </c>
      <c r="N98" s="80">
        <v>39990</v>
      </c>
      <c r="O98" s="80">
        <v>39420</v>
      </c>
      <c r="P98" s="80">
        <v>39610</v>
      </c>
      <c r="Q98" s="80">
        <v>39430</v>
      </c>
      <c r="R98" s="80">
        <v>37880</v>
      </c>
      <c r="S98" s="80">
        <v>36830</v>
      </c>
      <c r="T98" s="80">
        <v>35660</v>
      </c>
      <c r="U98" s="80">
        <v>35810</v>
      </c>
      <c r="V98" s="80">
        <v>34490</v>
      </c>
      <c r="W98" s="80">
        <v>32830</v>
      </c>
      <c r="X98" s="80">
        <v>32860</v>
      </c>
      <c r="Y98" s="80">
        <v>33330</v>
      </c>
      <c r="Z98" s="80">
        <v>33160</v>
      </c>
      <c r="AA98" s="80">
        <v>33680</v>
      </c>
      <c r="AB98" s="80">
        <v>35270</v>
      </c>
      <c r="AC98" s="80">
        <v>36520</v>
      </c>
      <c r="AD98" s="80">
        <v>36890</v>
      </c>
      <c r="AE98" s="80">
        <v>37080</v>
      </c>
      <c r="AF98" s="80">
        <v>36460</v>
      </c>
      <c r="AG98" s="80">
        <v>36020</v>
      </c>
      <c r="AH98" s="80">
        <v>35740</v>
      </c>
      <c r="AI98" s="80">
        <v>35090</v>
      </c>
      <c r="AJ98" s="80">
        <v>35010</v>
      </c>
      <c r="AK98" s="80">
        <v>34850</v>
      </c>
      <c r="AL98" s="80">
        <v>35270</v>
      </c>
      <c r="AM98" s="80">
        <v>35850</v>
      </c>
      <c r="AN98" s="80">
        <v>36380</v>
      </c>
      <c r="AO98" s="80">
        <v>36820</v>
      </c>
      <c r="AP98" s="80">
        <v>37180</v>
      </c>
      <c r="AQ98" s="80">
        <v>37420</v>
      </c>
      <c r="AR98" s="80">
        <v>37560</v>
      </c>
      <c r="AS98" s="80">
        <v>37630</v>
      </c>
      <c r="AT98" s="80">
        <v>37640</v>
      </c>
      <c r="AU98" s="80">
        <v>37590</v>
      </c>
      <c r="AV98" s="80">
        <v>37480</v>
      </c>
      <c r="AW98" s="80">
        <v>37330</v>
      </c>
      <c r="AX98" s="80">
        <v>37150</v>
      </c>
      <c r="AY98" s="80">
        <v>36940</v>
      </c>
      <c r="AZ98" s="80">
        <v>36710</v>
      </c>
      <c r="BA98" s="80">
        <v>36490</v>
      </c>
      <c r="BB98" s="80">
        <v>36280</v>
      </c>
      <c r="BC98" s="80">
        <v>36110</v>
      </c>
      <c r="BD98" s="80">
        <v>35970</v>
      </c>
    </row>
    <row r="99" spans="3:56" x14ac:dyDescent="0.2">
      <c r="C99" s="28">
        <v>34</v>
      </c>
      <c r="E99" s="80">
        <v>27020</v>
      </c>
      <c r="F99" s="80">
        <v>27810</v>
      </c>
      <c r="G99" s="80">
        <v>28540</v>
      </c>
      <c r="H99" s="80">
        <v>30000</v>
      </c>
      <c r="I99" s="80">
        <v>31570</v>
      </c>
      <c r="J99" s="80">
        <v>33180</v>
      </c>
      <c r="K99" s="80">
        <v>35220</v>
      </c>
      <c r="L99" s="80">
        <v>37460</v>
      </c>
      <c r="M99" s="80">
        <v>39430</v>
      </c>
      <c r="N99" s="80">
        <v>39710</v>
      </c>
      <c r="O99" s="80">
        <v>40120</v>
      </c>
      <c r="P99" s="80">
        <v>39550</v>
      </c>
      <c r="Q99" s="80">
        <v>39720</v>
      </c>
      <c r="R99" s="80">
        <v>39540</v>
      </c>
      <c r="S99" s="80">
        <v>37990</v>
      </c>
      <c r="T99" s="80">
        <v>36940</v>
      </c>
      <c r="U99" s="80">
        <v>35770</v>
      </c>
      <c r="V99" s="80">
        <v>35910</v>
      </c>
      <c r="W99" s="80">
        <v>34590</v>
      </c>
      <c r="X99" s="80">
        <v>32920</v>
      </c>
      <c r="Y99" s="80">
        <v>32960</v>
      </c>
      <c r="Z99" s="80">
        <v>33430</v>
      </c>
      <c r="AA99" s="80">
        <v>33250</v>
      </c>
      <c r="AB99" s="80">
        <v>33770</v>
      </c>
      <c r="AC99" s="80">
        <v>35360</v>
      </c>
      <c r="AD99" s="80">
        <v>36600</v>
      </c>
      <c r="AE99" s="80">
        <v>36970</v>
      </c>
      <c r="AF99" s="80">
        <v>37160</v>
      </c>
      <c r="AG99" s="80">
        <v>36540</v>
      </c>
      <c r="AH99" s="80">
        <v>36100</v>
      </c>
      <c r="AI99" s="80">
        <v>35820</v>
      </c>
      <c r="AJ99" s="80">
        <v>35170</v>
      </c>
      <c r="AK99" s="80">
        <v>35090</v>
      </c>
      <c r="AL99" s="80">
        <v>34930</v>
      </c>
      <c r="AM99" s="80">
        <v>35350</v>
      </c>
      <c r="AN99" s="80">
        <v>35930</v>
      </c>
      <c r="AO99" s="80">
        <v>36450</v>
      </c>
      <c r="AP99" s="80">
        <v>36900</v>
      </c>
      <c r="AQ99" s="80">
        <v>37250</v>
      </c>
      <c r="AR99" s="80">
        <v>37490</v>
      </c>
      <c r="AS99" s="80">
        <v>37630</v>
      </c>
      <c r="AT99" s="80">
        <v>37710</v>
      </c>
      <c r="AU99" s="80">
        <v>37720</v>
      </c>
      <c r="AV99" s="80">
        <v>37660</v>
      </c>
      <c r="AW99" s="80">
        <v>37560</v>
      </c>
      <c r="AX99" s="80">
        <v>37410</v>
      </c>
      <c r="AY99" s="80">
        <v>37220</v>
      </c>
      <c r="AZ99" s="80">
        <v>37010</v>
      </c>
      <c r="BA99" s="80">
        <v>36790</v>
      </c>
      <c r="BB99" s="80">
        <v>36570</v>
      </c>
      <c r="BC99" s="80">
        <v>36360</v>
      </c>
      <c r="BD99" s="80">
        <v>36190</v>
      </c>
    </row>
    <row r="100" spans="3:56" x14ac:dyDescent="0.2">
      <c r="C100" s="28">
        <v>35</v>
      </c>
      <c r="E100" s="80">
        <v>26080</v>
      </c>
      <c r="F100" s="80">
        <v>27450</v>
      </c>
      <c r="G100" s="80">
        <v>28160</v>
      </c>
      <c r="H100" s="80">
        <v>28800</v>
      </c>
      <c r="I100" s="80">
        <v>30190</v>
      </c>
      <c r="J100" s="80">
        <v>31690</v>
      </c>
      <c r="K100" s="80">
        <v>33290</v>
      </c>
      <c r="L100" s="80">
        <v>35320</v>
      </c>
      <c r="M100" s="80">
        <v>37560</v>
      </c>
      <c r="N100" s="80">
        <v>39530</v>
      </c>
      <c r="O100" s="80">
        <v>39800</v>
      </c>
      <c r="P100" s="80">
        <v>40210</v>
      </c>
      <c r="Q100" s="80">
        <v>39630</v>
      </c>
      <c r="R100" s="80">
        <v>39810</v>
      </c>
      <c r="S100" s="80">
        <v>39620</v>
      </c>
      <c r="T100" s="80">
        <v>38070</v>
      </c>
      <c r="U100" s="80">
        <v>37020</v>
      </c>
      <c r="V100" s="80">
        <v>35840</v>
      </c>
      <c r="W100" s="80">
        <v>35990</v>
      </c>
      <c r="X100" s="80">
        <v>34670</v>
      </c>
      <c r="Y100" s="80">
        <v>33000</v>
      </c>
      <c r="Z100" s="80">
        <v>33030</v>
      </c>
      <c r="AA100" s="80">
        <v>33500</v>
      </c>
      <c r="AB100" s="80">
        <v>33320</v>
      </c>
      <c r="AC100" s="80">
        <v>33840</v>
      </c>
      <c r="AD100" s="80">
        <v>35430</v>
      </c>
      <c r="AE100" s="80">
        <v>36670</v>
      </c>
      <c r="AF100" s="80">
        <v>37030</v>
      </c>
      <c r="AG100" s="80">
        <v>37220</v>
      </c>
      <c r="AH100" s="80">
        <v>36600</v>
      </c>
      <c r="AI100" s="80">
        <v>36170</v>
      </c>
      <c r="AJ100" s="80">
        <v>35880</v>
      </c>
      <c r="AK100" s="80">
        <v>35230</v>
      </c>
      <c r="AL100" s="80">
        <v>35160</v>
      </c>
      <c r="AM100" s="80">
        <v>34990</v>
      </c>
      <c r="AN100" s="80">
        <v>35410</v>
      </c>
      <c r="AO100" s="80">
        <v>35990</v>
      </c>
      <c r="AP100" s="80">
        <v>36510</v>
      </c>
      <c r="AQ100" s="80">
        <v>36960</v>
      </c>
      <c r="AR100" s="80">
        <v>37310</v>
      </c>
      <c r="AS100" s="80">
        <v>37550</v>
      </c>
      <c r="AT100" s="80">
        <v>37690</v>
      </c>
      <c r="AU100" s="80">
        <v>37770</v>
      </c>
      <c r="AV100" s="80">
        <v>37780</v>
      </c>
      <c r="AW100" s="80">
        <v>37720</v>
      </c>
      <c r="AX100" s="80">
        <v>37620</v>
      </c>
      <c r="AY100" s="80">
        <v>37470</v>
      </c>
      <c r="AZ100" s="80">
        <v>37280</v>
      </c>
      <c r="BA100" s="80">
        <v>37070</v>
      </c>
      <c r="BB100" s="80">
        <v>36850</v>
      </c>
      <c r="BC100" s="80">
        <v>36630</v>
      </c>
      <c r="BD100" s="80">
        <v>36420</v>
      </c>
    </row>
    <row r="101" spans="3:56" x14ac:dyDescent="0.2">
      <c r="C101" s="28">
        <v>36</v>
      </c>
      <c r="E101" s="80">
        <v>25920</v>
      </c>
      <c r="F101" s="80">
        <v>26460</v>
      </c>
      <c r="G101" s="80">
        <v>27750</v>
      </c>
      <c r="H101" s="80">
        <v>28400</v>
      </c>
      <c r="I101" s="80">
        <v>28980</v>
      </c>
      <c r="J101" s="80">
        <v>30300</v>
      </c>
      <c r="K101" s="80">
        <v>31790</v>
      </c>
      <c r="L101" s="80">
        <v>33390</v>
      </c>
      <c r="M101" s="80">
        <v>35420</v>
      </c>
      <c r="N101" s="80">
        <v>37660</v>
      </c>
      <c r="O101" s="80">
        <v>39620</v>
      </c>
      <c r="P101" s="80">
        <v>39890</v>
      </c>
      <c r="Q101" s="80">
        <v>40300</v>
      </c>
      <c r="R101" s="80">
        <v>39720</v>
      </c>
      <c r="S101" s="80">
        <v>39890</v>
      </c>
      <c r="T101" s="80">
        <v>39700</v>
      </c>
      <c r="U101" s="80">
        <v>38150</v>
      </c>
      <c r="V101" s="80">
        <v>37100</v>
      </c>
      <c r="W101" s="80">
        <v>35930</v>
      </c>
      <c r="X101" s="80">
        <v>36070</v>
      </c>
      <c r="Y101" s="80">
        <v>34750</v>
      </c>
      <c r="Z101" s="80">
        <v>33080</v>
      </c>
      <c r="AA101" s="80">
        <v>33110</v>
      </c>
      <c r="AB101" s="80">
        <v>33580</v>
      </c>
      <c r="AC101" s="80">
        <v>33400</v>
      </c>
      <c r="AD101" s="80">
        <v>33920</v>
      </c>
      <c r="AE101" s="80">
        <v>35510</v>
      </c>
      <c r="AF101" s="80">
        <v>36750</v>
      </c>
      <c r="AG101" s="80">
        <v>37110</v>
      </c>
      <c r="AH101" s="80">
        <v>37300</v>
      </c>
      <c r="AI101" s="80">
        <v>36680</v>
      </c>
      <c r="AJ101" s="80">
        <v>36240</v>
      </c>
      <c r="AK101" s="80">
        <v>35960</v>
      </c>
      <c r="AL101" s="80">
        <v>35310</v>
      </c>
      <c r="AM101" s="80">
        <v>35230</v>
      </c>
      <c r="AN101" s="80">
        <v>35070</v>
      </c>
      <c r="AO101" s="80">
        <v>35490</v>
      </c>
      <c r="AP101" s="80">
        <v>36070</v>
      </c>
      <c r="AQ101" s="80">
        <v>36590</v>
      </c>
      <c r="AR101" s="80">
        <v>37040</v>
      </c>
      <c r="AS101" s="80">
        <v>37390</v>
      </c>
      <c r="AT101" s="80">
        <v>37630</v>
      </c>
      <c r="AU101" s="80">
        <v>37770</v>
      </c>
      <c r="AV101" s="80">
        <v>37840</v>
      </c>
      <c r="AW101" s="80">
        <v>37850</v>
      </c>
      <c r="AX101" s="80">
        <v>37800</v>
      </c>
      <c r="AY101" s="80">
        <v>37700</v>
      </c>
      <c r="AZ101" s="80">
        <v>37550</v>
      </c>
      <c r="BA101" s="80">
        <v>37360</v>
      </c>
      <c r="BB101" s="80">
        <v>37150</v>
      </c>
      <c r="BC101" s="80">
        <v>36930</v>
      </c>
      <c r="BD101" s="80">
        <v>36710</v>
      </c>
    </row>
    <row r="102" spans="3:56" x14ac:dyDescent="0.2">
      <c r="C102" s="28">
        <v>37</v>
      </c>
      <c r="E102" s="80">
        <v>25300</v>
      </c>
      <c r="F102" s="80">
        <v>26270</v>
      </c>
      <c r="G102" s="80">
        <v>26750</v>
      </c>
      <c r="H102" s="80">
        <v>27980</v>
      </c>
      <c r="I102" s="80">
        <v>28560</v>
      </c>
      <c r="J102" s="80">
        <v>29080</v>
      </c>
      <c r="K102" s="80">
        <v>30400</v>
      </c>
      <c r="L102" s="80">
        <v>31890</v>
      </c>
      <c r="M102" s="80">
        <v>33490</v>
      </c>
      <c r="N102" s="80">
        <v>35520</v>
      </c>
      <c r="O102" s="80">
        <v>37760</v>
      </c>
      <c r="P102" s="80">
        <v>39720</v>
      </c>
      <c r="Q102" s="80">
        <v>39990</v>
      </c>
      <c r="R102" s="80">
        <v>40400</v>
      </c>
      <c r="S102" s="80">
        <v>39820</v>
      </c>
      <c r="T102" s="80">
        <v>39990</v>
      </c>
      <c r="U102" s="80">
        <v>39800</v>
      </c>
      <c r="V102" s="80">
        <v>38250</v>
      </c>
      <c r="W102" s="80">
        <v>37200</v>
      </c>
      <c r="X102" s="80">
        <v>36030</v>
      </c>
      <c r="Y102" s="80">
        <v>36170</v>
      </c>
      <c r="Z102" s="80">
        <v>34850</v>
      </c>
      <c r="AA102" s="80">
        <v>33180</v>
      </c>
      <c r="AB102" s="80">
        <v>33210</v>
      </c>
      <c r="AC102" s="80">
        <v>33680</v>
      </c>
      <c r="AD102" s="80">
        <v>33500</v>
      </c>
      <c r="AE102" s="80">
        <v>34020</v>
      </c>
      <c r="AF102" s="80">
        <v>35600</v>
      </c>
      <c r="AG102" s="80">
        <v>36840</v>
      </c>
      <c r="AH102" s="80">
        <v>37210</v>
      </c>
      <c r="AI102" s="80">
        <v>37390</v>
      </c>
      <c r="AJ102" s="80">
        <v>36770</v>
      </c>
      <c r="AK102" s="80">
        <v>36340</v>
      </c>
      <c r="AL102" s="80">
        <v>36060</v>
      </c>
      <c r="AM102" s="80">
        <v>35400</v>
      </c>
      <c r="AN102" s="80">
        <v>35330</v>
      </c>
      <c r="AO102" s="80">
        <v>35170</v>
      </c>
      <c r="AP102" s="80">
        <v>35580</v>
      </c>
      <c r="AQ102" s="80">
        <v>36160</v>
      </c>
      <c r="AR102" s="80">
        <v>36690</v>
      </c>
      <c r="AS102" s="80">
        <v>37130</v>
      </c>
      <c r="AT102" s="80">
        <v>37480</v>
      </c>
      <c r="AU102" s="80">
        <v>37720</v>
      </c>
      <c r="AV102" s="80">
        <v>37870</v>
      </c>
      <c r="AW102" s="80">
        <v>37940</v>
      </c>
      <c r="AX102" s="80">
        <v>37950</v>
      </c>
      <c r="AY102" s="80">
        <v>37900</v>
      </c>
      <c r="AZ102" s="80">
        <v>37790</v>
      </c>
      <c r="BA102" s="80">
        <v>37650</v>
      </c>
      <c r="BB102" s="80">
        <v>37460</v>
      </c>
      <c r="BC102" s="80">
        <v>37250</v>
      </c>
      <c r="BD102" s="80">
        <v>37030</v>
      </c>
    </row>
    <row r="103" spans="3:56" x14ac:dyDescent="0.2">
      <c r="C103" s="28">
        <v>38</v>
      </c>
      <c r="E103" s="80">
        <v>24900</v>
      </c>
      <c r="F103" s="80">
        <v>25610</v>
      </c>
      <c r="G103" s="80">
        <v>26530</v>
      </c>
      <c r="H103" s="80">
        <v>26950</v>
      </c>
      <c r="I103" s="80">
        <v>28120</v>
      </c>
      <c r="J103" s="80">
        <v>28640</v>
      </c>
      <c r="K103" s="80">
        <v>29160</v>
      </c>
      <c r="L103" s="80">
        <v>30480</v>
      </c>
      <c r="M103" s="80">
        <v>31970</v>
      </c>
      <c r="N103" s="80">
        <v>33570</v>
      </c>
      <c r="O103" s="80">
        <v>35600</v>
      </c>
      <c r="P103" s="80">
        <v>37840</v>
      </c>
      <c r="Q103" s="80">
        <v>39800</v>
      </c>
      <c r="R103" s="80">
        <v>40080</v>
      </c>
      <c r="S103" s="80">
        <v>40480</v>
      </c>
      <c r="T103" s="80">
        <v>39900</v>
      </c>
      <c r="U103" s="80">
        <v>40070</v>
      </c>
      <c r="V103" s="80">
        <v>39880</v>
      </c>
      <c r="W103" s="80">
        <v>38330</v>
      </c>
      <c r="X103" s="80">
        <v>37280</v>
      </c>
      <c r="Y103" s="80">
        <v>36110</v>
      </c>
      <c r="Z103" s="80">
        <v>36250</v>
      </c>
      <c r="AA103" s="80">
        <v>34930</v>
      </c>
      <c r="AB103" s="80">
        <v>33260</v>
      </c>
      <c r="AC103" s="80">
        <v>33290</v>
      </c>
      <c r="AD103" s="80">
        <v>33760</v>
      </c>
      <c r="AE103" s="80">
        <v>33580</v>
      </c>
      <c r="AF103" s="80">
        <v>34100</v>
      </c>
      <c r="AG103" s="80">
        <v>35680</v>
      </c>
      <c r="AH103" s="80">
        <v>36920</v>
      </c>
      <c r="AI103" s="80">
        <v>37290</v>
      </c>
      <c r="AJ103" s="80">
        <v>37470</v>
      </c>
      <c r="AK103" s="80">
        <v>36850</v>
      </c>
      <c r="AL103" s="80">
        <v>36420</v>
      </c>
      <c r="AM103" s="80">
        <v>36140</v>
      </c>
      <c r="AN103" s="80">
        <v>35490</v>
      </c>
      <c r="AO103" s="80">
        <v>35410</v>
      </c>
      <c r="AP103" s="80">
        <v>35250</v>
      </c>
      <c r="AQ103" s="80">
        <v>35670</v>
      </c>
      <c r="AR103" s="80">
        <v>36250</v>
      </c>
      <c r="AS103" s="80">
        <v>36770</v>
      </c>
      <c r="AT103" s="80">
        <v>37220</v>
      </c>
      <c r="AU103" s="80">
        <v>37570</v>
      </c>
      <c r="AV103" s="80">
        <v>37810</v>
      </c>
      <c r="AW103" s="80">
        <v>37950</v>
      </c>
      <c r="AX103" s="80">
        <v>38030</v>
      </c>
      <c r="AY103" s="80">
        <v>38030</v>
      </c>
      <c r="AZ103" s="80">
        <v>37980</v>
      </c>
      <c r="BA103" s="80">
        <v>37880</v>
      </c>
      <c r="BB103" s="80">
        <v>37730</v>
      </c>
      <c r="BC103" s="80">
        <v>37550</v>
      </c>
      <c r="BD103" s="80">
        <v>37340</v>
      </c>
    </row>
    <row r="104" spans="3:56" x14ac:dyDescent="0.2">
      <c r="C104" s="28">
        <v>39</v>
      </c>
      <c r="E104" s="80">
        <v>24290</v>
      </c>
      <c r="F104" s="80">
        <v>25180</v>
      </c>
      <c r="G104" s="80">
        <v>25830</v>
      </c>
      <c r="H104" s="80">
        <v>26700</v>
      </c>
      <c r="I104" s="80">
        <v>27070</v>
      </c>
      <c r="J104" s="80">
        <v>28190</v>
      </c>
      <c r="K104" s="80">
        <v>28710</v>
      </c>
      <c r="L104" s="80">
        <v>29230</v>
      </c>
      <c r="M104" s="80">
        <v>30550</v>
      </c>
      <c r="N104" s="80">
        <v>32040</v>
      </c>
      <c r="O104" s="80">
        <v>33640</v>
      </c>
      <c r="P104" s="80">
        <v>35670</v>
      </c>
      <c r="Q104" s="80">
        <v>37900</v>
      </c>
      <c r="R104" s="80">
        <v>39870</v>
      </c>
      <c r="S104" s="80">
        <v>40140</v>
      </c>
      <c r="T104" s="80">
        <v>40540</v>
      </c>
      <c r="U104" s="80">
        <v>39960</v>
      </c>
      <c r="V104" s="80">
        <v>40140</v>
      </c>
      <c r="W104" s="80">
        <v>39950</v>
      </c>
      <c r="X104" s="80">
        <v>38390</v>
      </c>
      <c r="Y104" s="80">
        <v>37340</v>
      </c>
      <c r="Z104" s="80">
        <v>36170</v>
      </c>
      <c r="AA104" s="80">
        <v>36320</v>
      </c>
      <c r="AB104" s="80">
        <v>35000</v>
      </c>
      <c r="AC104" s="80">
        <v>33330</v>
      </c>
      <c r="AD104" s="80">
        <v>33360</v>
      </c>
      <c r="AE104" s="80">
        <v>33820</v>
      </c>
      <c r="AF104" s="80">
        <v>33640</v>
      </c>
      <c r="AG104" s="80">
        <v>34170</v>
      </c>
      <c r="AH104" s="80">
        <v>35750</v>
      </c>
      <c r="AI104" s="80">
        <v>36990</v>
      </c>
      <c r="AJ104" s="80">
        <v>37350</v>
      </c>
      <c r="AK104" s="80">
        <v>37540</v>
      </c>
      <c r="AL104" s="80">
        <v>36920</v>
      </c>
      <c r="AM104" s="80">
        <v>36490</v>
      </c>
      <c r="AN104" s="80">
        <v>36200</v>
      </c>
      <c r="AO104" s="80">
        <v>35550</v>
      </c>
      <c r="AP104" s="80">
        <v>35480</v>
      </c>
      <c r="AQ104" s="80">
        <v>35310</v>
      </c>
      <c r="AR104" s="80">
        <v>35730</v>
      </c>
      <c r="AS104" s="80">
        <v>36310</v>
      </c>
      <c r="AT104" s="80">
        <v>36830</v>
      </c>
      <c r="AU104" s="80">
        <v>37280</v>
      </c>
      <c r="AV104" s="80">
        <v>37630</v>
      </c>
      <c r="AW104" s="80">
        <v>37870</v>
      </c>
      <c r="AX104" s="80">
        <v>38020</v>
      </c>
      <c r="AY104" s="80">
        <v>38090</v>
      </c>
      <c r="AZ104" s="80">
        <v>38100</v>
      </c>
      <c r="BA104" s="80">
        <v>38050</v>
      </c>
      <c r="BB104" s="80">
        <v>37950</v>
      </c>
      <c r="BC104" s="80">
        <v>37800</v>
      </c>
      <c r="BD104" s="80">
        <v>37610</v>
      </c>
    </row>
    <row r="105" spans="3:56" x14ac:dyDescent="0.2">
      <c r="C105" s="28">
        <v>40</v>
      </c>
      <c r="E105" s="80">
        <v>24860</v>
      </c>
      <c r="F105" s="80">
        <v>24540</v>
      </c>
      <c r="G105" s="80">
        <v>25390</v>
      </c>
      <c r="H105" s="80">
        <v>25990</v>
      </c>
      <c r="I105" s="80">
        <v>26810</v>
      </c>
      <c r="J105" s="80">
        <v>27130</v>
      </c>
      <c r="K105" s="80">
        <v>28250</v>
      </c>
      <c r="L105" s="80">
        <v>28780</v>
      </c>
      <c r="M105" s="80">
        <v>29290</v>
      </c>
      <c r="N105" s="80">
        <v>30610</v>
      </c>
      <c r="O105" s="80">
        <v>32100</v>
      </c>
      <c r="P105" s="80">
        <v>33700</v>
      </c>
      <c r="Q105" s="80">
        <v>35730</v>
      </c>
      <c r="R105" s="80">
        <v>37970</v>
      </c>
      <c r="S105" s="80">
        <v>39930</v>
      </c>
      <c r="T105" s="80">
        <v>40210</v>
      </c>
      <c r="U105" s="80">
        <v>40610</v>
      </c>
      <c r="V105" s="80">
        <v>40030</v>
      </c>
      <c r="W105" s="80">
        <v>40200</v>
      </c>
      <c r="X105" s="80">
        <v>40010</v>
      </c>
      <c r="Y105" s="80">
        <v>38460</v>
      </c>
      <c r="Z105" s="80">
        <v>37410</v>
      </c>
      <c r="AA105" s="80">
        <v>36240</v>
      </c>
      <c r="AB105" s="80">
        <v>36380</v>
      </c>
      <c r="AC105" s="80">
        <v>35060</v>
      </c>
      <c r="AD105" s="80">
        <v>33390</v>
      </c>
      <c r="AE105" s="80">
        <v>33430</v>
      </c>
      <c r="AF105" s="80">
        <v>33890</v>
      </c>
      <c r="AG105" s="80">
        <v>33710</v>
      </c>
      <c r="AH105" s="80">
        <v>34230</v>
      </c>
      <c r="AI105" s="80">
        <v>35820</v>
      </c>
      <c r="AJ105" s="80">
        <v>37060</v>
      </c>
      <c r="AK105" s="80">
        <v>37420</v>
      </c>
      <c r="AL105" s="80">
        <v>37610</v>
      </c>
      <c r="AM105" s="80">
        <v>36990</v>
      </c>
      <c r="AN105" s="80">
        <v>36560</v>
      </c>
      <c r="AO105" s="80">
        <v>36270</v>
      </c>
      <c r="AP105" s="80">
        <v>35620</v>
      </c>
      <c r="AQ105" s="80">
        <v>35550</v>
      </c>
      <c r="AR105" s="80">
        <v>35380</v>
      </c>
      <c r="AS105" s="80">
        <v>35800</v>
      </c>
      <c r="AT105" s="80">
        <v>36380</v>
      </c>
      <c r="AU105" s="80">
        <v>36900</v>
      </c>
      <c r="AV105" s="80">
        <v>37350</v>
      </c>
      <c r="AW105" s="80">
        <v>37700</v>
      </c>
      <c r="AX105" s="80">
        <v>37940</v>
      </c>
      <c r="AY105" s="80">
        <v>38090</v>
      </c>
      <c r="AZ105" s="80">
        <v>38160</v>
      </c>
      <c r="BA105" s="80">
        <v>38170</v>
      </c>
      <c r="BB105" s="80">
        <v>38120</v>
      </c>
      <c r="BC105" s="80">
        <v>38020</v>
      </c>
      <c r="BD105" s="80">
        <v>37870</v>
      </c>
    </row>
    <row r="106" spans="3:56" x14ac:dyDescent="0.2">
      <c r="C106" s="28">
        <v>41</v>
      </c>
      <c r="E106" s="80">
        <v>24960</v>
      </c>
      <c r="F106" s="80">
        <v>25090</v>
      </c>
      <c r="G106" s="80">
        <v>24740</v>
      </c>
      <c r="H106" s="80">
        <v>25540</v>
      </c>
      <c r="I106" s="80">
        <v>26100</v>
      </c>
      <c r="J106" s="80">
        <v>26870</v>
      </c>
      <c r="K106" s="80">
        <v>27190</v>
      </c>
      <c r="L106" s="80">
        <v>28320</v>
      </c>
      <c r="M106" s="80">
        <v>28840</v>
      </c>
      <c r="N106" s="80">
        <v>29360</v>
      </c>
      <c r="O106" s="80">
        <v>30680</v>
      </c>
      <c r="P106" s="80">
        <v>32170</v>
      </c>
      <c r="Q106" s="80">
        <v>33770</v>
      </c>
      <c r="R106" s="80">
        <v>35800</v>
      </c>
      <c r="S106" s="80">
        <v>38040</v>
      </c>
      <c r="T106" s="80">
        <v>40000</v>
      </c>
      <c r="U106" s="80">
        <v>40270</v>
      </c>
      <c r="V106" s="80">
        <v>40680</v>
      </c>
      <c r="W106" s="80">
        <v>40100</v>
      </c>
      <c r="X106" s="80">
        <v>40270</v>
      </c>
      <c r="Y106" s="80">
        <v>40080</v>
      </c>
      <c r="Z106" s="80">
        <v>38530</v>
      </c>
      <c r="AA106" s="80">
        <v>37480</v>
      </c>
      <c r="AB106" s="80">
        <v>36310</v>
      </c>
      <c r="AC106" s="80">
        <v>36450</v>
      </c>
      <c r="AD106" s="80">
        <v>35130</v>
      </c>
      <c r="AE106" s="80">
        <v>33470</v>
      </c>
      <c r="AF106" s="80">
        <v>33500</v>
      </c>
      <c r="AG106" s="80">
        <v>33960</v>
      </c>
      <c r="AH106" s="80">
        <v>33790</v>
      </c>
      <c r="AI106" s="80">
        <v>34310</v>
      </c>
      <c r="AJ106" s="80">
        <v>35890</v>
      </c>
      <c r="AK106" s="80">
        <v>37130</v>
      </c>
      <c r="AL106" s="80">
        <v>37490</v>
      </c>
      <c r="AM106" s="80">
        <v>37680</v>
      </c>
      <c r="AN106" s="80">
        <v>37060</v>
      </c>
      <c r="AO106" s="80">
        <v>36630</v>
      </c>
      <c r="AP106" s="80">
        <v>36340</v>
      </c>
      <c r="AQ106" s="80">
        <v>35700</v>
      </c>
      <c r="AR106" s="80">
        <v>35620</v>
      </c>
      <c r="AS106" s="80">
        <v>35460</v>
      </c>
      <c r="AT106" s="80">
        <v>35880</v>
      </c>
      <c r="AU106" s="80">
        <v>36460</v>
      </c>
      <c r="AV106" s="80">
        <v>36980</v>
      </c>
      <c r="AW106" s="80">
        <v>37430</v>
      </c>
      <c r="AX106" s="80">
        <v>37780</v>
      </c>
      <c r="AY106" s="80">
        <v>38020</v>
      </c>
      <c r="AZ106" s="80">
        <v>38170</v>
      </c>
      <c r="BA106" s="80">
        <v>38240</v>
      </c>
      <c r="BB106" s="80">
        <v>38250</v>
      </c>
      <c r="BC106" s="80">
        <v>38200</v>
      </c>
      <c r="BD106" s="80">
        <v>38100</v>
      </c>
    </row>
    <row r="107" spans="3:56" x14ac:dyDescent="0.2">
      <c r="C107" s="28">
        <v>42</v>
      </c>
      <c r="E107" s="80">
        <v>25630</v>
      </c>
      <c r="F107" s="80">
        <v>25170</v>
      </c>
      <c r="G107" s="80">
        <v>25270</v>
      </c>
      <c r="H107" s="80">
        <v>24870</v>
      </c>
      <c r="I107" s="80">
        <v>25630</v>
      </c>
      <c r="J107" s="80">
        <v>26150</v>
      </c>
      <c r="K107" s="80">
        <v>26920</v>
      </c>
      <c r="L107" s="80">
        <v>27240</v>
      </c>
      <c r="M107" s="80">
        <v>28360</v>
      </c>
      <c r="N107" s="80">
        <v>28890</v>
      </c>
      <c r="O107" s="80">
        <v>29400</v>
      </c>
      <c r="P107" s="80">
        <v>30720</v>
      </c>
      <c r="Q107" s="80">
        <v>32210</v>
      </c>
      <c r="R107" s="80">
        <v>33810</v>
      </c>
      <c r="S107" s="80">
        <v>35840</v>
      </c>
      <c r="T107" s="80">
        <v>38080</v>
      </c>
      <c r="U107" s="80">
        <v>40040</v>
      </c>
      <c r="V107" s="80">
        <v>40310</v>
      </c>
      <c r="W107" s="80">
        <v>40720</v>
      </c>
      <c r="X107" s="80">
        <v>40140</v>
      </c>
      <c r="Y107" s="80">
        <v>40310</v>
      </c>
      <c r="Z107" s="80">
        <v>40120</v>
      </c>
      <c r="AA107" s="80">
        <v>38570</v>
      </c>
      <c r="AB107" s="80">
        <v>37520</v>
      </c>
      <c r="AC107" s="80">
        <v>36350</v>
      </c>
      <c r="AD107" s="80">
        <v>36500</v>
      </c>
      <c r="AE107" s="80">
        <v>35180</v>
      </c>
      <c r="AF107" s="80">
        <v>33510</v>
      </c>
      <c r="AG107" s="80">
        <v>33540</v>
      </c>
      <c r="AH107" s="80">
        <v>34010</v>
      </c>
      <c r="AI107" s="80">
        <v>33830</v>
      </c>
      <c r="AJ107" s="80">
        <v>34350</v>
      </c>
      <c r="AK107" s="80">
        <v>35930</v>
      </c>
      <c r="AL107" s="80">
        <v>37170</v>
      </c>
      <c r="AM107" s="80">
        <v>37540</v>
      </c>
      <c r="AN107" s="80">
        <v>37720</v>
      </c>
      <c r="AO107" s="80">
        <v>37100</v>
      </c>
      <c r="AP107" s="80">
        <v>36670</v>
      </c>
      <c r="AQ107" s="80">
        <v>36390</v>
      </c>
      <c r="AR107" s="80">
        <v>35740</v>
      </c>
      <c r="AS107" s="80">
        <v>35670</v>
      </c>
      <c r="AT107" s="80">
        <v>35500</v>
      </c>
      <c r="AU107" s="80">
        <v>35920</v>
      </c>
      <c r="AV107" s="80">
        <v>36500</v>
      </c>
      <c r="AW107" s="80">
        <v>37020</v>
      </c>
      <c r="AX107" s="80">
        <v>37470</v>
      </c>
      <c r="AY107" s="80">
        <v>37830</v>
      </c>
      <c r="AZ107" s="80">
        <v>38070</v>
      </c>
      <c r="BA107" s="80">
        <v>38210</v>
      </c>
      <c r="BB107" s="80">
        <v>38290</v>
      </c>
      <c r="BC107" s="80">
        <v>38300</v>
      </c>
      <c r="BD107" s="80">
        <v>38250</v>
      </c>
    </row>
    <row r="108" spans="3:56" x14ac:dyDescent="0.2">
      <c r="C108" s="28">
        <v>43</v>
      </c>
      <c r="E108" s="80">
        <v>26660</v>
      </c>
      <c r="F108" s="80">
        <v>25810</v>
      </c>
      <c r="G108" s="80">
        <v>25320</v>
      </c>
      <c r="H108" s="80">
        <v>25380</v>
      </c>
      <c r="I108" s="80">
        <v>24940</v>
      </c>
      <c r="J108" s="80">
        <v>25660</v>
      </c>
      <c r="K108" s="80">
        <v>26180</v>
      </c>
      <c r="L108" s="80">
        <v>26950</v>
      </c>
      <c r="M108" s="80">
        <v>27270</v>
      </c>
      <c r="N108" s="80">
        <v>28390</v>
      </c>
      <c r="O108" s="80">
        <v>28910</v>
      </c>
      <c r="P108" s="80">
        <v>29420</v>
      </c>
      <c r="Q108" s="80">
        <v>30740</v>
      </c>
      <c r="R108" s="80">
        <v>32230</v>
      </c>
      <c r="S108" s="80">
        <v>33820</v>
      </c>
      <c r="T108" s="80">
        <v>35850</v>
      </c>
      <c r="U108" s="80">
        <v>38080</v>
      </c>
      <c r="V108" s="80">
        <v>40040</v>
      </c>
      <c r="W108" s="80">
        <v>40310</v>
      </c>
      <c r="X108" s="80">
        <v>40710</v>
      </c>
      <c r="Y108" s="80">
        <v>40140</v>
      </c>
      <c r="Z108" s="80">
        <v>40310</v>
      </c>
      <c r="AA108" s="80">
        <v>40120</v>
      </c>
      <c r="AB108" s="80">
        <v>38570</v>
      </c>
      <c r="AC108" s="80">
        <v>37520</v>
      </c>
      <c r="AD108" s="80">
        <v>36350</v>
      </c>
      <c r="AE108" s="80">
        <v>36500</v>
      </c>
      <c r="AF108" s="80">
        <v>35180</v>
      </c>
      <c r="AG108" s="80">
        <v>33510</v>
      </c>
      <c r="AH108" s="80">
        <v>33540</v>
      </c>
      <c r="AI108" s="80">
        <v>34010</v>
      </c>
      <c r="AJ108" s="80">
        <v>33830</v>
      </c>
      <c r="AK108" s="80">
        <v>34350</v>
      </c>
      <c r="AL108" s="80">
        <v>35930</v>
      </c>
      <c r="AM108" s="80">
        <v>37170</v>
      </c>
      <c r="AN108" s="80">
        <v>37530</v>
      </c>
      <c r="AO108" s="80">
        <v>37720</v>
      </c>
      <c r="AP108" s="80">
        <v>37100</v>
      </c>
      <c r="AQ108" s="80">
        <v>36670</v>
      </c>
      <c r="AR108" s="80">
        <v>36390</v>
      </c>
      <c r="AS108" s="80">
        <v>35740</v>
      </c>
      <c r="AT108" s="80">
        <v>35670</v>
      </c>
      <c r="AU108" s="80">
        <v>35500</v>
      </c>
      <c r="AV108" s="80">
        <v>35920</v>
      </c>
      <c r="AW108" s="80">
        <v>36500</v>
      </c>
      <c r="AX108" s="80">
        <v>37030</v>
      </c>
      <c r="AY108" s="80">
        <v>37470</v>
      </c>
      <c r="AZ108" s="80">
        <v>37830</v>
      </c>
      <c r="BA108" s="80">
        <v>38070</v>
      </c>
      <c r="BB108" s="80">
        <v>38210</v>
      </c>
      <c r="BC108" s="80">
        <v>38290</v>
      </c>
      <c r="BD108" s="80">
        <v>38300</v>
      </c>
    </row>
    <row r="109" spans="3:56" x14ac:dyDescent="0.2">
      <c r="C109" s="28">
        <v>44</v>
      </c>
      <c r="E109" s="80">
        <v>27460</v>
      </c>
      <c r="F109" s="80">
        <v>26830</v>
      </c>
      <c r="G109" s="80">
        <v>25940</v>
      </c>
      <c r="H109" s="80">
        <v>25410</v>
      </c>
      <c r="I109" s="80">
        <v>25430</v>
      </c>
      <c r="J109" s="80">
        <v>24960</v>
      </c>
      <c r="K109" s="80">
        <v>25680</v>
      </c>
      <c r="L109" s="80">
        <v>26190</v>
      </c>
      <c r="M109" s="80">
        <v>26960</v>
      </c>
      <c r="N109" s="80">
        <v>27280</v>
      </c>
      <c r="O109" s="80">
        <v>28390</v>
      </c>
      <c r="P109" s="80">
        <v>28910</v>
      </c>
      <c r="Q109" s="80">
        <v>29430</v>
      </c>
      <c r="R109" s="80">
        <v>30740</v>
      </c>
      <c r="S109" s="80">
        <v>32220</v>
      </c>
      <c r="T109" s="80">
        <v>33820</v>
      </c>
      <c r="U109" s="80">
        <v>35840</v>
      </c>
      <c r="V109" s="80">
        <v>38060</v>
      </c>
      <c r="W109" s="80">
        <v>40020</v>
      </c>
      <c r="X109" s="80">
        <v>40290</v>
      </c>
      <c r="Y109" s="80">
        <v>40690</v>
      </c>
      <c r="Z109" s="80">
        <v>40110</v>
      </c>
      <c r="AA109" s="80">
        <v>40280</v>
      </c>
      <c r="AB109" s="80">
        <v>40090</v>
      </c>
      <c r="AC109" s="80">
        <v>38540</v>
      </c>
      <c r="AD109" s="80">
        <v>37500</v>
      </c>
      <c r="AE109" s="80">
        <v>36330</v>
      </c>
      <c r="AF109" s="80">
        <v>36470</v>
      </c>
      <c r="AG109" s="80">
        <v>35160</v>
      </c>
      <c r="AH109" s="80">
        <v>33500</v>
      </c>
      <c r="AI109" s="80">
        <v>33530</v>
      </c>
      <c r="AJ109" s="80">
        <v>33990</v>
      </c>
      <c r="AK109" s="80">
        <v>33810</v>
      </c>
      <c r="AL109" s="80">
        <v>34330</v>
      </c>
      <c r="AM109" s="80">
        <v>35910</v>
      </c>
      <c r="AN109" s="80">
        <v>37140</v>
      </c>
      <c r="AO109" s="80">
        <v>37510</v>
      </c>
      <c r="AP109" s="80">
        <v>37690</v>
      </c>
      <c r="AQ109" s="80">
        <v>37080</v>
      </c>
      <c r="AR109" s="80">
        <v>36650</v>
      </c>
      <c r="AS109" s="80">
        <v>36370</v>
      </c>
      <c r="AT109" s="80">
        <v>35720</v>
      </c>
      <c r="AU109" s="80">
        <v>35650</v>
      </c>
      <c r="AV109" s="80">
        <v>35480</v>
      </c>
      <c r="AW109" s="80">
        <v>35900</v>
      </c>
      <c r="AX109" s="80">
        <v>36480</v>
      </c>
      <c r="AY109" s="80">
        <v>37000</v>
      </c>
      <c r="AZ109" s="80">
        <v>37450</v>
      </c>
      <c r="BA109" s="80">
        <v>37800</v>
      </c>
      <c r="BB109" s="80">
        <v>38040</v>
      </c>
      <c r="BC109" s="80">
        <v>38190</v>
      </c>
      <c r="BD109" s="80">
        <v>38270</v>
      </c>
    </row>
    <row r="110" spans="3:56" x14ac:dyDescent="0.2">
      <c r="C110" s="28">
        <v>45</v>
      </c>
      <c r="E110" s="80">
        <v>28430</v>
      </c>
      <c r="F110" s="80">
        <v>27600</v>
      </c>
      <c r="G110" s="80">
        <v>26930</v>
      </c>
      <c r="H110" s="80">
        <v>26010</v>
      </c>
      <c r="I110" s="80">
        <v>25450</v>
      </c>
      <c r="J110" s="80">
        <v>25440</v>
      </c>
      <c r="K110" s="80">
        <v>24960</v>
      </c>
      <c r="L110" s="80">
        <v>25680</v>
      </c>
      <c r="M110" s="80">
        <v>26190</v>
      </c>
      <c r="N110" s="80">
        <v>26960</v>
      </c>
      <c r="O110" s="80">
        <v>27270</v>
      </c>
      <c r="P110" s="80">
        <v>28380</v>
      </c>
      <c r="Q110" s="80">
        <v>28900</v>
      </c>
      <c r="R110" s="80">
        <v>29410</v>
      </c>
      <c r="S110" s="80">
        <v>30720</v>
      </c>
      <c r="T110" s="80">
        <v>32200</v>
      </c>
      <c r="U110" s="80">
        <v>33790</v>
      </c>
      <c r="V110" s="80">
        <v>35800</v>
      </c>
      <c r="W110" s="80">
        <v>38020</v>
      </c>
      <c r="X110" s="80">
        <v>39970</v>
      </c>
      <c r="Y110" s="80">
        <v>40240</v>
      </c>
      <c r="Z110" s="80">
        <v>40640</v>
      </c>
      <c r="AA110" s="80">
        <v>40060</v>
      </c>
      <c r="AB110" s="80">
        <v>40230</v>
      </c>
      <c r="AC110" s="80">
        <v>40040</v>
      </c>
      <c r="AD110" s="80">
        <v>38500</v>
      </c>
      <c r="AE110" s="80">
        <v>37450</v>
      </c>
      <c r="AF110" s="80">
        <v>36290</v>
      </c>
      <c r="AG110" s="80">
        <v>36430</v>
      </c>
      <c r="AH110" s="80">
        <v>35120</v>
      </c>
      <c r="AI110" s="80">
        <v>33460</v>
      </c>
      <c r="AJ110" s="80">
        <v>33490</v>
      </c>
      <c r="AK110" s="80">
        <v>33950</v>
      </c>
      <c r="AL110" s="80">
        <v>33780</v>
      </c>
      <c r="AM110" s="80">
        <v>34290</v>
      </c>
      <c r="AN110" s="80">
        <v>35870</v>
      </c>
      <c r="AO110" s="80">
        <v>37100</v>
      </c>
      <c r="AP110" s="80">
        <v>37460</v>
      </c>
      <c r="AQ110" s="80">
        <v>37650</v>
      </c>
      <c r="AR110" s="80">
        <v>37030</v>
      </c>
      <c r="AS110" s="80">
        <v>36610</v>
      </c>
      <c r="AT110" s="80">
        <v>36320</v>
      </c>
      <c r="AU110" s="80">
        <v>35680</v>
      </c>
      <c r="AV110" s="80">
        <v>35610</v>
      </c>
      <c r="AW110" s="80">
        <v>35450</v>
      </c>
      <c r="AX110" s="80">
        <v>35860</v>
      </c>
      <c r="AY110" s="80">
        <v>36440</v>
      </c>
      <c r="AZ110" s="80">
        <v>36960</v>
      </c>
      <c r="BA110" s="80">
        <v>37410</v>
      </c>
      <c r="BB110" s="80">
        <v>37760</v>
      </c>
      <c r="BC110" s="80">
        <v>38000</v>
      </c>
      <c r="BD110" s="80">
        <v>38150</v>
      </c>
    </row>
    <row r="111" spans="3:56" x14ac:dyDescent="0.2">
      <c r="C111" s="28">
        <v>46</v>
      </c>
      <c r="E111" s="80">
        <v>28600</v>
      </c>
      <c r="F111" s="80">
        <v>28530</v>
      </c>
      <c r="G111" s="80">
        <v>27670</v>
      </c>
      <c r="H111" s="80">
        <v>26980</v>
      </c>
      <c r="I111" s="80">
        <v>26030</v>
      </c>
      <c r="J111" s="80">
        <v>25440</v>
      </c>
      <c r="K111" s="80">
        <v>25420</v>
      </c>
      <c r="L111" s="80">
        <v>24950</v>
      </c>
      <c r="M111" s="80">
        <v>25660</v>
      </c>
      <c r="N111" s="80">
        <v>26170</v>
      </c>
      <c r="O111" s="80">
        <v>26930</v>
      </c>
      <c r="P111" s="80">
        <v>27250</v>
      </c>
      <c r="Q111" s="80">
        <v>28350</v>
      </c>
      <c r="R111" s="80">
        <v>28870</v>
      </c>
      <c r="S111" s="80">
        <v>29380</v>
      </c>
      <c r="T111" s="80">
        <v>30680</v>
      </c>
      <c r="U111" s="80">
        <v>32160</v>
      </c>
      <c r="V111" s="80">
        <v>33740</v>
      </c>
      <c r="W111" s="80">
        <v>35750</v>
      </c>
      <c r="X111" s="80">
        <v>37960</v>
      </c>
      <c r="Y111" s="80">
        <v>39900</v>
      </c>
      <c r="Z111" s="80">
        <v>40170</v>
      </c>
      <c r="AA111" s="80">
        <v>40570</v>
      </c>
      <c r="AB111" s="80">
        <v>39990</v>
      </c>
      <c r="AC111" s="80">
        <v>40160</v>
      </c>
      <c r="AD111" s="80">
        <v>39970</v>
      </c>
      <c r="AE111" s="80">
        <v>38430</v>
      </c>
      <c r="AF111" s="80">
        <v>37390</v>
      </c>
      <c r="AG111" s="80">
        <v>36230</v>
      </c>
      <c r="AH111" s="80">
        <v>36370</v>
      </c>
      <c r="AI111" s="80">
        <v>35060</v>
      </c>
      <c r="AJ111" s="80">
        <v>33410</v>
      </c>
      <c r="AK111" s="80">
        <v>33440</v>
      </c>
      <c r="AL111" s="80">
        <v>33900</v>
      </c>
      <c r="AM111" s="80">
        <v>33720</v>
      </c>
      <c r="AN111" s="80">
        <v>34240</v>
      </c>
      <c r="AO111" s="80">
        <v>35810</v>
      </c>
      <c r="AP111" s="80">
        <v>37040</v>
      </c>
      <c r="AQ111" s="80">
        <v>37400</v>
      </c>
      <c r="AR111" s="80">
        <v>37580</v>
      </c>
      <c r="AS111" s="80">
        <v>36970</v>
      </c>
      <c r="AT111" s="80">
        <v>36550</v>
      </c>
      <c r="AU111" s="80">
        <v>36270</v>
      </c>
      <c r="AV111" s="80">
        <v>35620</v>
      </c>
      <c r="AW111" s="80">
        <v>35550</v>
      </c>
      <c r="AX111" s="80">
        <v>35390</v>
      </c>
      <c r="AY111" s="80">
        <v>35810</v>
      </c>
      <c r="AZ111" s="80">
        <v>36390</v>
      </c>
      <c r="BA111" s="80">
        <v>36910</v>
      </c>
      <c r="BB111" s="80">
        <v>37350</v>
      </c>
      <c r="BC111" s="80">
        <v>37700</v>
      </c>
      <c r="BD111" s="80">
        <v>37940</v>
      </c>
    </row>
    <row r="112" spans="3:56" x14ac:dyDescent="0.2">
      <c r="C112" s="28">
        <v>47</v>
      </c>
      <c r="E112" s="80">
        <v>27870</v>
      </c>
      <c r="F112" s="80">
        <v>28670</v>
      </c>
      <c r="G112" s="80">
        <v>28580</v>
      </c>
      <c r="H112" s="80">
        <v>27690</v>
      </c>
      <c r="I112" s="80">
        <v>26970</v>
      </c>
      <c r="J112" s="80">
        <v>26000</v>
      </c>
      <c r="K112" s="80">
        <v>25410</v>
      </c>
      <c r="L112" s="80">
        <v>25390</v>
      </c>
      <c r="M112" s="80">
        <v>24910</v>
      </c>
      <c r="N112" s="80">
        <v>25620</v>
      </c>
      <c r="O112" s="80">
        <v>26130</v>
      </c>
      <c r="P112" s="80">
        <v>26890</v>
      </c>
      <c r="Q112" s="80">
        <v>27200</v>
      </c>
      <c r="R112" s="80">
        <v>28310</v>
      </c>
      <c r="S112" s="80">
        <v>28820</v>
      </c>
      <c r="T112" s="80">
        <v>29320</v>
      </c>
      <c r="U112" s="80">
        <v>30620</v>
      </c>
      <c r="V112" s="80">
        <v>32090</v>
      </c>
      <c r="W112" s="80">
        <v>33670</v>
      </c>
      <c r="X112" s="80">
        <v>35670</v>
      </c>
      <c r="Y112" s="80">
        <v>37880</v>
      </c>
      <c r="Z112" s="80">
        <v>39820</v>
      </c>
      <c r="AA112" s="80">
        <v>40080</v>
      </c>
      <c r="AB112" s="80">
        <v>40480</v>
      </c>
      <c r="AC112" s="80">
        <v>39900</v>
      </c>
      <c r="AD112" s="80">
        <v>40070</v>
      </c>
      <c r="AE112" s="80">
        <v>39880</v>
      </c>
      <c r="AF112" s="80">
        <v>38350</v>
      </c>
      <c r="AG112" s="80">
        <v>37310</v>
      </c>
      <c r="AH112" s="80">
        <v>36150</v>
      </c>
      <c r="AI112" s="80">
        <v>36290</v>
      </c>
      <c r="AJ112" s="80">
        <v>34980</v>
      </c>
      <c r="AK112" s="80">
        <v>33330</v>
      </c>
      <c r="AL112" s="80">
        <v>33370</v>
      </c>
      <c r="AM112" s="80">
        <v>33830</v>
      </c>
      <c r="AN112" s="80">
        <v>33650</v>
      </c>
      <c r="AO112" s="80">
        <v>34170</v>
      </c>
      <c r="AP112" s="80">
        <v>35730</v>
      </c>
      <c r="AQ112" s="80">
        <v>36960</v>
      </c>
      <c r="AR112" s="80">
        <v>37320</v>
      </c>
      <c r="AS112" s="80">
        <v>37500</v>
      </c>
      <c r="AT112" s="80">
        <v>36890</v>
      </c>
      <c r="AU112" s="80">
        <v>36470</v>
      </c>
      <c r="AV112" s="80">
        <v>36190</v>
      </c>
      <c r="AW112" s="80">
        <v>35550</v>
      </c>
      <c r="AX112" s="80">
        <v>35480</v>
      </c>
      <c r="AY112" s="80">
        <v>35320</v>
      </c>
      <c r="AZ112" s="80">
        <v>35740</v>
      </c>
      <c r="BA112" s="80">
        <v>36310</v>
      </c>
      <c r="BB112" s="80">
        <v>36830</v>
      </c>
      <c r="BC112" s="80">
        <v>37280</v>
      </c>
      <c r="BD112" s="80">
        <v>37630</v>
      </c>
    </row>
    <row r="113" spans="3:56" x14ac:dyDescent="0.2">
      <c r="C113" s="28">
        <v>48</v>
      </c>
      <c r="E113" s="80">
        <v>27950</v>
      </c>
      <c r="F113" s="80">
        <v>27930</v>
      </c>
      <c r="G113" s="80">
        <v>28700</v>
      </c>
      <c r="H113" s="80">
        <v>28580</v>
      </c>
      <c r="I113" s="80">
        <v>27670</v>
      </c>
      <c r="J113" s="80">
        <v>26920</v>
      </c>
      <c r="K113" s="80">
        <v>25950</v>
      </c>
      <c r="L113" s="80">
        <v>25360</v>
      </c>
      <c r="M113" s="80">
        <v>25340</v>
      </c>
      <c r="N113" s="80">
        <v>24860</v>
      </c>
      <c r="O113" s="80">
        <v>25570</v>
      </c>
      <c r="P113" s="80">
        <v>26070</v>
      </c>
      <c r="Q113" s="80">
        <v>26830</v>
      </c>
      <c r="R113" s="80">
        <v>27140</v>
      </c>
      <c r="S113" s="80">
        <v>28240</v>
      </c>
      <c r="T113" s="80">
        <v>28750</v>
      </c>
      <c r="U113" s="80">
        <v>29250</v>
      </c>
      <c r="V113" s="80">
        <v>30550</v>
      </c>
      <c r="W113" s="80">
        <v>32010</v>
      </c>
      <c r="X113" s="80">
        <v>33580</v>
      </c>
      <c r="Y113" s="80">
        <v>35580</v>
      </c>
      <c r="Z113" s="80">
        <v>37780</v>
      </c>
      <c r="AA113" s="80">
        <v>39710</v>
      </c>
      <c r="AB113" s="80">
        <v>39970</v>
      </c>
      <c r="AC113" s="80">
        <v>40370</v>
      </c>
      <c r="AD113" s="80">
        <v>39790</v>
      </c>
      <c r="AE113" s="80">
        <v>39960</v>
      </c>
      <c r="AF113" s="80">
        <v>39770</v>
      </c>
      <c r="AG113" s="80">
        <v>38240</v>
      </c>
      <c r="AH113" s="80">
        <v>37200</v>
      </c>
      <c r="AI113" s="80">
        <v>36050</v>
      </c>
      <c r="AJ113" s="80">
        <v>36190</v>
      </c>
      <c r="AK113" s="80">
        <v>34890</v>
      </c>
      <c r="AL113" s="80">
        <v>33250</v>
      </c>
      <c r="AM113" s="80">
        <v>33280</v>
      </c>
      <c r="AN113" s="80">
        <v>33740</v>
      </c>
      <c r="AO113" s="80">
        <v>33560</v>
      </c>
      <c r="AP113" s="80">
        <v>34080</v>
      </c>
      <c r="AQ113" s="80">
        <v>35640</v>
      </c>
      <c r="AR113" s="80">
        <v>36860</v>
      </c>
      <c r="AS113" s="80">
        <v>37220</v>
      </c>
      <c r="AT113" s="80">
        <v>37410</v>
      </c>
      <c r="AU113" s="80">
        <v>36800</v>
      </c>
      <c r="AV113" s="80">
        <v>36380</v>
      </c>
      <c r="AW113" s="80">
        <v>36100</v>
      </c>
      <c r="AX113" s="80">
        <v>35460</v>
      </c>
      <c r="AY113" s="80">
        <v>35390</v>
      </c>
      <c r="AZ113" s="80">
        <v>35230</v>
      </c>
      <c r="BA113" s="80">
        <v>35650</v>
      </c>
      <c r="BB113" s="80">
        <v>36220</v>
      </c>
      <c r="BC113" s="80">
        <v>36740</v>
      </c>
      <c r="BD113" s="80">
        <v>37190</v>
      </c>
    </row>
    <row r="114" spans="3:56" x14ac:dyDescent="0.2">
      <c r="C114" s="28">
        <v>49</v>
      </c>
      <c r="E114" s="80">
        <v>27470</v>
      </c>
      <c r="F114" s="80">
        <v>27980</v>
      </c>
      <c r="G114" s="80">
        <v>27930</v>
      </c>
      <c r="H114" s="80">
        <v>28680</v>
      </c>
      <c r="I114" s="80">
        <v>28530</v>
      </c>
      <c r="J114" s="80">
        <v>27600</v>
      </c>
      <c r="K114" s="80">
        <v>26860</v>
      </c>
      <c r="L114" s="80">
        <v>25880</v>
      </c>
      <c r="M114" s="80">
        <v>25290</v>
      </c>
      <c r="N114" s="80">
        <v>25270</v>
      </c>
      <c r="O114" s="80">
        <v>24790</v>
      </c>
      <c r="P114" s="80">
        <v>25500</v>
      </c>
      <c r="Q114" s="80">
        <v>26000</v>
      </c>
      <c r="R114" s="80">
        <v>26750</v>
      </c>
      <c r="S114" s="80">
        <v>27060</v>
      </c>
      <c r="T114" s="80">
        <v>28150</v>
      </c>
      <c r="U114" s="80">
        <v>28660</v>
      </c>
      <c r="V114" s="80">
        <v>29160</v>
      </c>
      <c r="W114" s="80">
        <v>30450</v>
      </c>
      <c r="X114" s="80">
        <v>31910</v>
      </c>
      <c r="Y114" s="80">
        <v>33480</v>
      </c>
      <c r="Z114" s="80">
        <v>35470</v>
      </c>
      <c r="AA114" s="80">
        <v>37660</v>
      </c>
      <c r="AB114" s="80">
        <v>39580</v>
      </c>
      <c r="AC114" s="80">
        <v>39840</v>
      </c>
      <c r="AD114" s="80">
        <v>40230</v>
      </c>
      <c r="AE114" s="80">
        <v>39660</v>
      </c>
      <c r="AF114" s="80">
        <v>39830</v>
      </c>
      <c r="AG114" s="80">
        <v>39640</v>
      </c>
      <c r="AH114" s="80">
        <v>38110</v>
      </c>
      <c r="AI114" s="80">
        <v>37080</v>
      </c>
      <c r="AJ114" s="80">
        <v>35930</v>
      </c>
      <c r="AK114" s="80">
        <v>36070</v>
      </c>
      <c r="AL114" s="80">
        <v>34770</v>
      </c>
      <c r="AM114" s="80">
        <v>33140</v>
      </c>
      <c r="AN114" s="80">
        <v>33170</v>
      </c>
      <c r="AO114" s="80">
        <v>33630</v>
      </c>
      <c r="AP114" s="80">
        <v>33450</v>
      </c>
      <c r="AQ114" s="80">
        <v>33970</v>
      </c>
      <c r="AR114" s="80">
        <v>35520</v>
      </c>
      <c r="AS114" s="80">
        <v>36740</v>
      </c>
      <c r="AT114" s="80">
        <v>37100</v>
      </c>
      <c r="AU114" s="80">
        <v>37290</v>
      </c>
      <c r="AV114" s="80">
        <v>36680</v>
      </c>
      <c r="AW114" s="80">
        <v>36260</v>
      </c>
      <c r="AX114" s="80">
        <v>35990</v>
      </c>
      <c r="AY114" s="80">
        <v>35350</v>
      </c>
      <c r="AZ114" s="80">
        <v>35280</v>
      </c>
      <c r="BA114" s="80">
        <v>35120</v>
      </c>
      <c r="BB114" s="80">
        <v>35540</v>
      </c>
      <c r="BC114" s="80">
        <v>36110</v>
      </c>
      <c r="BD114" s="80">
        <v>36630</v>
      </c>
    </row>
    <row r="115" spans="3:56" x14ac:dyDescent="0.2">
      <c r="C115" s="28">
        <v>50</v>
      </c>
      <c r="E115" s="80">
        <v>26900</v>
      </c>
      <c r="F115" s="80">
        <v>27470</v>
      </c>
      <c r="G115" s="80">
        <v>27950</v>
      </c>
      <c r="H115" s="80">
        <v>27890</v>
      </c>
      <c r="I115" s="80">
        <v>28600</v>
      </c>
      <c r="J115" s="80">
        <v>28440</v>
      </c>
      <c r="K115" s="80">
        <v>27510</v>
      </c>
      <c r="L115" s="80">
        <v>26760</v>
      </c>
      <c r="M115" s="80">
        <v>25790</v>
      </c>
      <c r="N115" s="80">
        <v>25200</v>
      </c>
      <c r="O115" s="80">
        <v>25180</v>
      </c>
      <c r="P115" s="80">
        <v>24700</v>
      </c>
      <c r="Q115" s="80">
        <v>25400</v>
      </c>
      <c r="R115" s="80">
        <v>25900</v>
      </c>
      <c r="S115" s="80">
        <v>26650</v>
      </c>
      <c r="T115" s="80">
        <v>26950</v>
      </c>
      <c r="U115" s="80">
        <v>28050</v>
      </c>
      <c r="V115" s="80">
        <v>28550</v>
      </c>
      <c r="W115" s="80">
        <v>29050</v>
      </c>
      <c r="X115" s="80">
        <v>30330</v>
      </c>
      <c r="Y115" s="80">
        <v>31790</v>
      </c>
      <c r="Z115" s="80">
        <v>33350</v>
      </c>
      <c r="AA115" s="80">
        <v>35330</v>
      </c>
      <c r="AB115" s="80">
        <v>37510</v>
      </c>
      <c r="AC115" s="80">
        <v>39430</v>
      </c>
      <c r="AD115" s="80">
        <v>39690</v>
      </c>
      <c r="AE115" s="80">
        <v>40080</v>
      </c>
      <c r="AF115" s="80">
        <v>39510</v>
      </c>
      <c r="AG115" s="80">
        <v>39670</v>
      </c>
      <c r="AH115" s="80">
        <v>39480</v>
      </c>
      <c r="AI115" s="80">
        <v>37970</v>
      </c>
      <c r="AJ115" s="80">
        <v>36940</v>
      </c>
      <c r="AK115" s="80">
        <v>35790</v>
      </c>
      <c r="AL115" s="80">
        <v>35930</v>
      </c>
      <c r="AM115" s="80">
        <v>34640</v>
      </c>
      <c r="AN115" s="80">
        <v>33010</v>
      </c>
      <c r="AO115" s="80">
        <v>33040</v>
      </c>
      <c r="AP115" s="80">
        <v>33500</v>
      </c>
      <c r="AQ115" s="80">
        <v>33330</v>
      </c>
      <c r="AR115" s="80">
        <v>33840</v>
      </c>
      <c r="AS115" s="80">
        <v>35390</v>
      </c>
      <c r="AT115" s="80">
        <v>36600</v>
      </c>
      <c r="AU115" s="80">
        <v>36960</v>
      </c>
      <c r="AV115" s="80">
        <v>37150</v>
      </c>
      <c r="AW115" s="80">
        <v>36550</v>
      </c>
      <c r="AX115" s="80">
        <v>36130</v>
      </c>
      <c r="AY115" s="80">
        <v>35850</v>
      </c>
      <c r="AZ115" s="80">
        <v>35220</v>
      </c>
      <c r="BA115" s="80">
        <v>35150</v>
      </c>
      <c r="BB115" s="80">
        <v>35000</v>
      </c>
      <c r="BC115" s="80">
        <v>35410</v>
      </c>
      <c r="BD115" s="80">
        <v>35980</v>
      </c>
    </row>
    <row r="116" spans="3:56" x14ac:dyDescent="0.2">
      <c r="C116" s="28">
        <v>51</v>
      </c>
      <c r="E116" s="80">
        <v>26970</v>
      </c>
      <c r="F116" s="80">
        <v>26880</v>
      </c>
      <c r="G116" s="80">
        <v>27430</v>
      </c>
      <c r="H116" s="80">
        <v>27890</v>
      </c>
      <c r="I116" s="80">
        <v>27800</v>
      </c>
      <c r="J116" s="80">
        <v>28490</v>
      </c>
      <c r="K116" s="80">
        <v>28330</v>
      </c>
      <c r="L116" s="80">
        <v>27400</v>
      </c>
      <c r="M116" s="80">
        <v>26650</v>
      </c>
      <c r="N116" s="80">
        <v>25690</v>
      </c>
      <c r="O116" s="80">
        <v>25100</v>
      </c>
      <c r="P116" s="80">
        <v>25070</v>
      </c>
      <c r="Q116" s="80">
        <v>24600</v>
      </c>
      <c r="R116" s="80">
        <v>25290</v>
      </c>
      <c r="S116" s="80">
        <v>25790</v>
      </c>
      <c r="T116" s="80">
        <v>26530</v>
      </c>
      <c r="U116" s="80">
        <v>26840</v>
      </c>
      <c r="V116" s="80">
        <v>27920</v>
      </c>
      <c r="W116" s="80">
        <v>28420</v>
      </c>
      <c r="X116" s="80">
        <v>28920</v>
      </c>
      <c r="Y116" s="80">
        <v>30200</v>
      </c>
      <c r="Z116" s="80">
        <v>31640</v>
      </c>
      <c r="AA116" s="80">
        <v>33200</v>
      </c>
      <c r="AB116" s="80">
        <v>35170</v>
      </c>
      <c r="AC116" s="80">
        <v>37340</v>
      </c>
      <c r="AD116" s="80">
        <v>39250</v>
      </c>
      <c r="AE116" s="80">
        <v>39510</v>
      </c>
      <c r="AF116" s="80">
        <v>39900</v>
      </c>
      <c r="AG116" s="80">
        <v>39330</v>
      </c>
      <c r="AH116" s="80">
        <v>39500</v>
      </c>
      <c r="AI116" s="80">
        <v>39310</v>
      </c>
      <c r="AJ116" s="80">
        <v>37800</v>
      </c>
      <c r="AK116" s="80">
        <v>36770</v>
      </c>
      <c r="AL116" s="80">
        <v>35630</v>
      </c>
      <c r="AM116" s="80">
        <v>35770</v>
      </c>
      <c r="AN116" s="80">
        <v>34490</v>
      </c>
      <c r="AO116" s="80">
        <v>32860</v>
      </c>
      <c r="AP116" s="80">
        <v>32900</v>
      </c>
      <c r="AQ116" s="80">
        <v>33350</v>
      </c>
      <c r="AR116" s="80">
        <v>33180</v>
      </c>
      <c r="AS116" s="80">
        <v>33690</v>
      </c>
      <c r="AT116" s="80">
        <v>35240</v>
      </c>
      <c r="AU116" s="80">
        <v>36450</v>
      </c>
      <c r="AV116" s="80">
        <v>36810</v>
      </c>
      <c r="AW116" s="80">
        <v>36990</v>
      </c>
      <c r="AX116" s="80">
        <v>36390</v>
      </c>
      <c r="AY116" s="80">
        <v>35980</v>
      </c>
      <c r="AZ116" s="80">
        <v>35700</v>
      </c>
      <c r="BA116" s="80">
        <v>35080</v>
      </c>
      <c r="BB116" s="80">
        <v>35010</v>
      </c>
      <c r="BC116" s="80">
        <v>34850</v>
      </c>
      <c r="BD116" s="80">
        <v>35270</v>
      </c>
    </row>
    <row r="117" spans="3:56" x14ac:dyDescent="0.2">
      <c r="C117" s="28">
        <v>52</v>
      </c>
      <c r="E117" s="80">
        <v>27090</v>
      </c>
      <c r="F117" s="80">
        <v>26920</v>
      </c>
      <c r="G117" s="80">
        <v>26820</v>
      </c>
      <c r="H117" s="80">
        <v>27340</v>
      </c>
      <c r="I117" s="80">
        <v>27780</v>
      </c>
      <c r="J117" s="80">
        <v>27670</v>
      </c>
      <c r="K117" s="80">
        <v>28360</v>
      </c>
      <c r="L117" s="80">
        <v>28190</v>
      </c>
      <c r="M117" s="80">
        <v>27270</v>
      </c>
      <c r="N117" s="80">
        <v>26520</v>
      </c>
      <c r="O117" s="80">
        <v>25560</v>
      </c>
      <c r="P117" s="80">
        <v>24970</v>
      </c>
      <c r="Q117" s="80">
        <v>24950</v>
      </c>
      <c r="R117" s="80">
        <v>24470</v>
      </c>
      <c r="S117" s="80">
        <v>25160</v>
      </c>
      <c r="T117" s="80">
        <v>25660</v>
      </c>
      <c r="U117" s="80">
        <v>26400</v>
      </c>
      <c r="V117" s="80">
        <v>26700</v>
      </c>
      <c r="W117" s="80">
        <v>27780</v>
      </c>
      <c r="X117" s="80">
        <v>28280</v>
      </c>
      <c r="Y117" s="80">
        <v>28770</v>
      </c>
      <c r="Z117" s="80">
        <v>30040</v>
      </c>
      <c r="AA117" s="80">
        <v>31480</v>
      </c>
      <c r="AB117" s="80">
        <v>33030</v>
      </c>
      <c r="AC117" s="80">
        <v>34990</v>
      </c>
      <c r="AD117" s="80">
        <v>37150</v>
      </c>
      <c r="AE117" s="80">
        <v>39050</v>
      </c>
      <c r="AF117" s="80">
        <v>39310</v>
      </c>
      <c r="AG117" s="80">
        <v>39700</v>
      </c>
      <c r="AH117" s="80">
        <v>39130</v>
      </c>
      <c r="AI117" s="80">
        <v>39300</v>
      </c>
      <c r="AJ117" s="80">
        <v>39110</v>
      </c>
      <c r="AK117" s="80">
        <v>37610</v>
      </c>
      <c r="AL117" s="80">
        <v>36590</v>
      </c>
      <c r="AM117" s="80">
        <v>35460</v>
      </c>
      <c r="AN117" s="80">
        <v>35600</v>
      </c>
      <c r="AO117" s="80">
        <v>34320</v>
      </c>
      <c r="AP117" s="80">
        <v>32700</v>
      </c>
      <c r="AQ117" s="80">
        <v>32740</v>
      </c>
      <c r="AR117" s="80">
        <v>33190</v>
      </c>
      <c r="AS117" s="80">
        <v>33020</v>
      </c>
      <c r="AT117" s="80">
        <v>33530</v>
      </c>
      <c r="AU117" s="80">
        <v>35070</v>
      </c>
      <c r="AV117" s="80">
        <v>36270</v>
      </c>
      <c r="AW117" s="80">
        <v>36630</v>
      </c>
      <c r="AX117" s="80">
        <v>36820</v>
      </c>
      <c r="AY117" s="80">
        <v>36220</v>
      </c>
      <c r="AZ117" s="80">
        <v>35810</v>
      </c>
      <c r="BA117" s="80">
        <v>35540</v>
      </c>
      <c r="BB117" s="80">
        <v>34910</v>
      </c>
      <c r="BC117" s="80">
        <v>34850</v>
      </c>
      <c r="BD117" s="80">
        <v>34690</v>
      </c>
    </row>
    <row r="118" spans="3:56" x14ac:dyDescent="0.2">
      <c r="C118" s="28">
        <v>53</v>
      </c>
      <c r="E118" s="80">
        <v>27810</v>
      </c>
      <c r="F118" s="80">
        <v>27020</v>
      </c>
      <c r="G118" s="80">
        <v>26840</v>
      </c>
      <c r="H118" s="80">
        <v>26720</v>
      </c>
      <c r="I118" s="80">
        <v>27220</v>
      </c>
      <c r="J118" s="80">
        <v>27640</v>
      </c>
      <c r="K118" s="80">
        <v>27530</v>
      </c>
      <c r="L118" s="80">
        <v>28220</v>
      </c>
      <c r="M118" s="80">
        <v>28060</v>
      </c>
      <c r="N118" s="80">
        <v>27140</v>
      </c>
      <c r="O118" s="80">
        <v>26400</v>
      </c>
      <c r="P118" s="80">
        <v>25440</v>
      </c>
      <c r="Q118" s="80">
        <v>24860</v>
      </c>
      <c r="R118" s="80">
        <v>24840</v>
      </c>
      <c r="S118" s="80">
        <v>24360</v>
      </c>
      <c r="T118" s="80">
        <v>25050</v>
      </c>
      <c r="U118" s="80">
        <v>25540</v>
      </c>
      <c r="V118" s="80">
        <v>26280</v>
      </c>
      <c r="W118" s="80">
        <v>26580</v>
      </c>
      <c r="X118" s="80">
        <v>27660</v>
      </c>
      <c r="Y118" s="80">
        <v>28160</v>
      </c>
      <c r="Z118" s="80">
        <v>28650</v>
      </c>
      <c r="AA118" s="80">
        <v>29920</v>
      </c>
      <c r="AB118" s="80">
        <v>31350</v>
      </c>
      <c r="AC118" s="80">
        <v>32890</v>
      </c>
      <c r="AD118" s="80">
        <v>34850</v>
      </c>
      <c r="AE118" s="80">
        <v>37000</v>
      </c>
      <c r="AF118" s="80">
        <v>38900</v>
      </c>
      <c r="AG118" s="80">
        <v>39150</v>
      </c>
      <c r="AH118" s="80">
        <v>39540</v>
      </c>
      <c r="AI118" s="80">
        <v>38980</v>
      </c>
      <c r="AJ118" s="80">
        <v>39150</v>
      </c>
      <c r="AK118" s="80">
        <v>38960</v>
      </c>
      <c r="AL118" s="80">
        <v>37460</v>
      </c>
      <c r="AM118" s="80">
        <v>36450</v>
      </c>
      <c r="AN118" s="80">
        <v>35320</v>
      </c>
      <c r="AO118" s="80">
        <v>35460</v>
      </c>
      <c r="AP118" s="80">
        <v>34190</v>
      </c>
      <c r="AQ118" s="80">
        <v>32580</v>
      </c>
      <c r="AR118" s="80">
        <v>32610</v>
      </c>
      <c r="AS118" s="80">
        <v>33070</v>
      </c>
      <c r="AT118" s="80">
        <v>32900</v>
      </c>
      <c r="AU118" s="80">
        <v>33410</v>
      </c>
      <c r="AV118" s="80">
        <v>34940</v>
      </c>
      <c r="AW118" s="80">
        <v>36140</v>
      </c>
      <c r="AX118" s="80">
        <v>36500</v>
      </c>
      <c r="AY118" s="80">
        <v>36690</v>
      </c>
      <c r="AZ118" s="80">
        <v>36090</v>
      </c>
      <c r="BA118" s="80">
        <v>35680</v>
      </c>
      <c r="BB118" s="80">
        <v>35410</v>
      </c>
      <c r="BC118" s="80">
        <v>34790</v>
      </c>
      <c r="BD118" s="80">
        <v>34730</v>
      </c>
    </row>
    <row r="119" spans="3:56" x14ac:dyDescent="0.2">
      <c r="C119" s="28">
        <v>54</v>
      </c>
      <c r="E119" s="80">
        <v>27900</v>
      </c>
      <c r="F119" s="80">
        <v>27730</v>
      </c>
      <c r="G119" s="80">
        <v>26930</v>
      </c>
      <c r="H119" s="80">
        <v>26740</v>
      </c>
      <c r="I119" s="80">
        <v>26610</v>
      </c>
      <c r="J119" s="80">
        <v>27100</v>
      </c>
      <c r="K119" s="80">
        <v>27520</v>
      </c>
      <c r="L119" s="80">
        <v>27420</v>
      </c>
      <c r="M119" s="80">
        <v>28110</v>
      </c>
      <c r="N119" s="80">
        <v>27950</v>
      </c>
      <c r="O119" s="80">
        <v>27040</v>
      </c>
      <c r="P119" s="80">
        <v>26300</v>
      </c>
      <c r="Q119" s="80">
        <v>25350</v>
      </c>
      <c r="R119" s="80">
        <v>24770</v>
      </c>
      <c r="S119" s="80">
        <v>24750</v>
      </c>
      <c r="T119" s="80">
        <v>24290</v>
      </c>
      <c r="U119" s="80">
        <v>24970</v>
      </c>
      <c r="V119" s="80">
        <v>25470</v>
      </c>
      <c r="W119" s="80">
        <v>26200</v>
      </c>
      <c r="X119" s="80">
        <v>26510</v>
      </c>
      <c r="Y119" s="80">
        <v>27580</v>
      </c>
      <c r="Z119" s="80">
        <v>28080</v>
      </c>
      <c r="AA119" s="80">
        <v>28570</v>
      </c>
      <c r="AB119" s="80">
        <v>29840</v>
      </c>
      <c r="AC119" s="80">
        <v>31270</v>
      </c>
      <c r="AD119" s="80">
        <v>32800</v>
      </c>
      <c r="AE119" s="80">
        <v>34760</v>
      </c>
      <c r="AF119" s="80">
        <v>36910</v>
      </c>
      <c r="AG119" s="80">
        <v>38800</v>
      </c>
      <c r="AH119" s="80">
        <v>39060</v>
      </c>
      <c r="AI119" s="80">
        <v>39440</v>
      </c>
      <c r="AJ119" s="80">
        <v>38890</v>
      </c>
      <c r="AK119" s="80">
        <v>39050</v>
      </c>
      <c r="AL119" s="80">
        <v>38870</v>
      </c>
      <c r="AM119" s="80">
        <v>37380</v>
      </c>
      <c r="AN119" s="80">
        <v>36370</v>
      </c>
      <c r="AO119" s="80">
        <v>35240</v>
      </c>
      <c r="AP119" s="80">
        <v>35380</v>
      </c>
      <c r="AQ119" s="80">
        <v>34110</v>
      </c>
      <c r="AR119" s="80">
        <v>32510</v>
      </c>
      <c r="AS119" s="80">
        <v>32550</v>
      </c>
      <c r="AT119" s="80">
        <v>33000</v>
      </c>
      <c r="AU119" s="80">
        <v>32830</v>
      </c>
      <c r="AV119" s="80">
        <v>33340</v>
      </c>
      <c r="AW119" s="80">
        <v>34870</v>
      </c>
      <c r="AX119" s="80">
        <v>36070</v>
      </c>
      <c r="AY119" s="80">
        <v>36430</v>
      </c>
      <c r="AZ119" s="80">
        <v>36620</v>
      </c>
      <c r="BA119" s="80">
        <v>36020</v>
      </c>
      <c r="BB119" s="80">
        <v>35620</v>
      </c>
      <c r="BC119" s="80">
        <v>35350</v>
      </c>
      <c r="BD119" s="80">
        <v>34730</v>
      </c>
    </row>
    <row r="120" spans="3:56" x14ac:dyDescent="0.2">
      <c r="C120" s="28">
        <v>55</v>
      </c>
      <c r="E120" s="80">
        <v>27800</v>
      </c>
      <c r="F120" s="80">
        <v>27790</v>
      </c>
      <c r="G120" s="80">
        <v>27610</v>
      </c>
      <c r="H120" s="80">
        <v>26810</v>
      </c>
      <c r="I120" s="80">
        <v>26610</v>
      </c>
      <c r="J120" s="80">
        <v>26470</v>
      </c>
      <c r="K120" s="80">
        <v>26970</v>
      </c>
      <c r="L120" s="80">
        <v>27390</v>
      </c>
      <c r="M120" s="80">
        <v>27300</v>
      </c>
      <c r="N120" s="80">
        <v>27990</v>
      </c>
      <c r="O120" s="80">
        <v>27830</v>
      </c>
      <c r="P120" s="80">
        <v>26930</v>
      </c>
      <c r="Q120" s="80">
        <v>26200</v>
      </c>
      <c r="R120" s="80">
        <v>25260</v>
      </c>
      <c r="S120" s="80">
        <v>24680</v>
      </c>
      <c r="T120" s="80">
        <v>24670</v>
      </c>
      <c r="U120" s="80">
        <v>24200</v>
      </c>
      <c r="V120" s="80">
        <v>24890</v>
      </c>
      <c r="W120" s="80">
        <v>25380</v>
      </c>
      <c r="X120" s="80">
        <v>26120</v>
      </c>
      <c r="Y120" s="80">
        <v>26420</v>
      </c>
      <c r="Z120" s="80">
        <v>27500</v>
      </c>
      <c r="AA120" s="80">
        <v>28000</v>
      </c>
      <c r="AB120" s="80">
        <v>28490</v>
      </c>
      <c r="AC120" s="80">
        <v>29750</v>
      </c>
      <c r="AD120" s="80">
        <v>31180</v>
      </c>
      <c r="AE120" s="80">
        <v>32720</v>
      </c>
      <c r="AF120" s="80">
        <v>34660</v>
      </c>
      <c r="AG120" s="80">
        <v>36810</v>
      </c>
      <c r="AH120" s="80">
        <v>38700</v>
      </c>
      <c r="AI120" s="80">
        <v>38950</v>
      </c>
      <c r="AJ120" s="80">
        <v>39340</v>
      </c>
      <c r="AK120" s="80">
        <v>38790</v>
      </c>
      <c r="AL120" s="80">
        <v>38960</v>
      </c>
      <c r="AM120" s="80">
        <v>38780</v>
      </c>
      <c r="AN120" s="80">
        <v>37290</v>
      </c>
      <c r="AO120" s="80">
        <v>36280</v>
      </c>
      <c r="AP120" s="80">
        <v>35160</v>
      </c>
      <c r="AQ120" s="80">
        <v>35300</v>
      </c>
      <c r="AR120" s="80">
        <v>34040</v>
      </c>
      <c r="AS120" s="80">
        <v>32440</v>
      </c>
      <c r="AT120" s="80">
        <v>32480</v>
      </c>
      <c r="AU120" s="80">
        <v>32930</v>
      </c>
      <c r="AV120" s="80">
        <v>32760</v>
      </c>
      <c r="AW120" s="80">
        <v>33270</v>
      </c>
      <c r="AX120" s="80">
        <v>34800</v>
      </c>
      <c r="AY120" s="80">
        <v>36000</v>
      </c>
      <c r="AZ120" s="80">
        <v>36360</v>
      </c>
      <c r="BA120" s="80">
        <v>36540</v>
      </c>
      <c r="BB120" s="80">
        <v>35950</v>
      </c>
      <c r="BC120" s="80">
        <v>35550</v>
      </c>
      <c r="BD120" s="80">
        <v>35280</v>
      </c>
    </row>
    <row r="121" spans="3:56" x14ac:dyDescent="0.2">
      <c r="C121" s="28">
        <v>56</v>
      </c>
      <c r="E121" s="80">
        <v>26860</v>
      </c>
      <c r="F121" s="80">
        <v>27640</v>
      </c>
      <c r="G121" s="80">
        <v>27630</v>
      </c>
      <c r="H121" s="80">
        <v>27440</v>
      </c>
      <c r="I121" s="80">
        <v>26640</v>
      </c>
      <c r="J121" s="80">
        <v>26440</v>
      </c>
      <c r="K121" s="80">
        <v>26300</v>
      </c>
      <c r="L121" s="80">
        <v>26800</v>
      </c>
      <c r="M121" s="80">
        <v>27230</v>
      </c>
      <c r="N121" s="80">
        <v>27140</v>
      </c>
      <c r="O121" s="80">
        <v>27820</v>
      </c>
      <c r="P121" s="80">
        <v>27680</v>
      </c>
      <c r="Q121" s="80">
        <v>26780</v>
      </c>
      <c r="R121" s="80">
        <v>26060</v>
      </c>
      <c r="S121" s="80">
        <v>25130</v>
      </c>
      <c r="T121" s="80">
        <v>24560</v>
      </c>
      <c r="U121" s="80">
        <v>24540</v>
      </c>
      <c r="V121" s="80">
        <v>24090</v>
      </c>
      <c r="W121" s="80">
        <v>24770</v>
      </c>
      <c r="X121" s="80">
        <v>25260</v>
      </c>
      <c r="Y121" s="80">
        <v>26000</v>
      </c>
      <c r="Z121" s="80">
        <v>26300</v>
      </c>
      <c r="AA121" s="80">
        <v>27370</v>
      </c>
      <c r="AB121" s="80">
        <v>27870</v>
      </c>
      <c r="AC121" s="80">
        <v>28360</v>
      </c>
      <c r="AD121" s="80">
        <v>29620</v>
      </c>
      <c r="AE121" s="80">
        <v>31050</v>
      </c>
      <c r="AF121" s="80">
        <v>32570</v>
      </c>
      <c r="AG121" s="80">
        <v>34510</v>
      </c>
      <c r="AH121" s="80">
        <v>36650</v>
      </c>
      <c r="AI121" s="80">
        <v>38530</v>
      </c>
      <c r="AJ121" s="80">
        <v>38790</v>
      </c>
      <c r="AK121" s="80">
        <v>39170</v>
      </c>
      <c r="AL121" s="80">
        <v>38620</v>
      </c>
      <c r="AM121" s="80">
        <v>38790</v>
      </c>
      <c r="AN121" s="80">
        <v>38620</v>
      </c>
      <c r="AO121" s="80">
        <v>37140</v>
      </c>
      <c r="AP121" s="80">
        <v>36140</v>
      </c>
      <c r="AQ121" s="80">
        <v>35020</v>
      </c>
      <c r="AR121" s="80">
        <v>35160</v>
      </c>
      <c r="AS121" s="80">
        <v>33910</v>
      </c>
      <c r="AT121" s="80">
        <v>32320</v>
      </c>
      <c r="AU121" s="80">
        <v>32350</v>
      </c>
      <c r="AV121" s="80">
        <v>32810</v>
      </c>
      <c r="AW121" s="80">
        <v>32640</v>
      </c>
      <c r="AX121" s="80">
        <v>33150</v>
      </c>
      <c r="AY121" s="80">
        <v>34670</v>
      </c>
      <c r="AZ121" s="80">
        <v>35870</v>
      </c>
      <c r="BA121" s="80">
        <v>36220</v>
      </c>
      <c r="BB121" s="80">
        <v>36410</v>
      </c>
      <c r="BC121" s="80">
        <v>35820</v>
      </c>
      <c r="BD121" s="80">
        <v>35420</v>
      </c>
    </row>
    <row r="122" spans="3:56" x14ac:dyDescent="0.2">
      <c r="C122" s="28">
        <v>57</v>
      </c>
      <c r="E122" s="80">
        <v>25710</v>
      </c>
      <c r="F122" s="80">
        <v>26650</v>
      </c>
      <c r="G122" s="80">
        <v>27420</v>
      </c>
      <c r="H122" s="80">
        <v>27390</v>
      </c>
      <c r="I122" s="80">
        <v>27200</v>
      </c>
      <c r="J122" s="80">
        <v>26400</v>
      </c>
      <c r="K122" s="80">
        <v>26200</v>
      </c>
      <c r="L122" s="80">
        <v>26070</v>
      </c>
      <c r="M122" s="80">
        <v>26560</v>
      </c>
      <c r="N122" s="80">
        <v>26990</v>
      </c>
      <c r="O122" s="80">
        <v>26900</v>
      </c>
      <c r="P122" s="80">
        <v>27590</v>
      </c>
      <c r="Q122" s="80">
        <v>27440</v>
      </c>
      <c r="R122" s="80">
        <v>26560</v>
      </c>
      <c r="S122" s="80">
        <v>25850</v>
      </c>
      <c r="T122" s="80">
        <v>24920</v>
      </c>
      <c r="U122" s="80">
        <v>24360</v>
      </c>
      <c r="V122" s="80">
        <v>24350</v>
      </c>
      <c r="W122" s="80">
        <v>23900</v>
      </c>
      <c r="X122" s="80">
        <v>24580</v>
      </c>
      <c r="Y122" s="80">
        <v>25070</v>
      </c>
      <c r="Z122" s="80">
        <v>25800</v>
      </c>
      <c r="AA122" s="80">
        <v>26100</v>
      </c>
      <c r="AB122" s="80">
        <v>27160</v>
      </c>
      <c r="AC122" s="80">
        <v>27660</v>
      </c>
      <c r="AD122" s="80">
        <v>28140</v>
      </c>
      <c r="AE122" s="80">
        <v>29400</v>
      </c>
      <c r="AF122" s="80">
        <v>30810</v>
      </c>
      <c r="AG122" s="80">
        <v>32320</v>
      </c>
      <c r="AH122" s="80">
        <v>34250</v>
      </c>
      <c r="AI122" s="80">
        <v>36370</v>
      </c>
      <c r="AJ122" s="80">
        <v>38230</v>
      </c>
      <c r="AK122" s="80">
        <v>38490</v>
      </c>
      <c r="AL122" s="80">
        <v>38880</v>
      </c>
      <c r="AM122" s="80">
        <v>38330</v>
      </c>
      <c r="AN122" s="80">
        <v>38500</v>
      </c>
      <c r="AO122" s="80">
        <v>38330</v>
      </c>
      <c r="AP122" s="80">
        <v>36860</v>
      </c>
      <c r="AQ122" s="80">
        <v>35870</v>
      </c>
      <c r="AR122" s="80">
        <v>34770</v>
      </c>
      <c r="AS122" s="80">
        <v>34910</v>
      </c>
      <c r="AT122" s="80">
        <v>33660</v>
      </c>
      <c r="AU122" s="80">
        <v>32090</v>
      </c>
      <c r="AV122" s="80">
        <v>32120</v>
      </c>
      <c r="AW122" s="80">
        <v>32570</v>
      </c>
      <c r="AX122" s="80">
        <v>32410</v>
      </c>
      <c r="AY122" s="80">
        <v>32910</v>
      </c>
      <c r="AZ122" s="80">
        <v>34430</v>
      </c>
      <c r="BA122" s="80">
        <v>35610</v>
      </c>
      <c r="BB122" s="80">
        <v>35970</v>
      </c>
      <c r="BC122" s="80">
        <v>36160</v>
      </c>
      <c r="BD122" s="80">
        <v>35580</v>
      </c>
    </row>
    <row r="123" spans="3:56" x14ac:dyDescent="0.2">
      <c r="C123" s="28">
        <v>58</v>
      </c>
      <c r="E123" s="80">
        <v>25050</v>
      </c>
      <c r="F123" s="80">
        <v>25570</v>
      </c>
      <c r="G123" s="80">
        <v>26500</v>
      </c>
      <c r="H123" s="80">
        <v>27250</v>
      </c>
      <c r="I123" s="80">
        <v>27220</v>
      </c>
      <c r="J123" s="80">
        <v>27020</v>
      </c>
      <c r="K123" s="80">
        <v>26230</v>
      </c>
      <c r="L123" s="80">
        <v>26040</v>
      </c>
      <c r="M123" s="80">
        <v>25920</v>
      </c>
      <c r="N123" s="80">
        <v>26410</v>
      </c>
      <c r="O123" s="80">
        <v>26840</v>
      </c>
      <c r="P123" s="80">
        <v>26750</v>
      </c>
      <c r="Q123" s="80">
        <v>27440</v>
      </c>
      <c r="R123" s="80">
        <v>27300</v>
      </c>
      <c r="S123" s="80">
        <v>26420</v>
      </c>
      <c r="T123" s="80">
        <v>25720</v>
      </c>
      <c r="U123" s="80">
        <v>24810</v>
      </c>
      <c r="V123" s="80">
        <v>24250</v>
      </c>
      <c r="W123" s="80">
        <v>24240</v>
      </c>
      <c r="X123" s="80">
        <v>23790</v>
      </c>
      <c r="Y123" s="80">
        <v>24470</v>
      </c>
      <c r="Z123" s="80">
        <v>24960</v>
      </c>
      <c r="AA123" s="80">
        <v>25690</v>
      </c>
      <c r="AB123" s="80">
        <v>25990</v>
      </c>
      <c r="AC123" s="80">
        <v>27050</v>
      </c>
      <c r="AD123" s="80">
        <v>27540</v>
      </c>
      <c r="AE123" s="80">
        <v>28030</v>
      </c>
      <c r="AF123" s="80">
        <v>29270</v>
      </c>
      <c r="AG123" s="80">
        <v>30680</v>
      </c>
      <c r="AH123" s="80">
        <v>32190</v>
      </c>
      <c r="AI123" s="80">
        <v>34100</v>
      </c>
      <c r="AJ123" s="80">
        <v>36210</v>
      </c>
      <c r="AK123" s="80">
        <v>38070</v>
      </c>
      <c r="AL123" s="80">
        <v>38330</v>
      </c>
      <c r="AM123" s="80">
        <v>38710</v>
      </c>
      <c r="AN123" s="80">
        <v>38170</v>
      </c>
      <c r="AO123" s="80">
        <v>38340</v>
      </c>
      <c r="AP123" s="80">
        <v>38170</v>
      </c>
      <c r="AQ123" s="80">
        <v>36710</v>
      </c>
      <c r="AR123" s="80">
        <v>35730</v>
      </c>
      <c r="AS123" s="80">
        <v>34630</v>
      </c>
      <c r="AT123" s="80">
        <v>34770</v>
      </c>
      <c r="AU123" s="80">
        <v>33540</v>
      </c>
      <c r="AV123" s="80">
        <v>31970</v>
      </c>
      <c r="AW123" s="80">
        <v>32010</v>
      </c>
      <c r="AX123" s="80">
        <v>32460</v>
      </c>
      <c r="AY123" s="80">
        <v>32300</v>
      </c>
      <c r="AZ123" s="80">
        <v>32800</v>
      </c>
      <c r="BA123" s="80">
        <v>34300</v>
      </c>
      <c r="BB123" s="80">
        <v>35490</v>
      </c>
      <c r="BC123" s="80">
        <v>35840</v>
      </c>
      <c r="BD123" s="80">
        <v>36030</v>
      </c>
    </row>
    <row r="124" spans="3:56" x14ac:dyDescent="0.2">
      <c r="C124" s="28">
        <v>59</v>
      </c>
      <c r="E124" s="80">
        <v>23560</v>
      </c>
      <c r="F124" s="80">
        <v>24950</v>
      </c>
      <c r="G124" s="80">
        <v>25460</v>
      </c>
      <c r="H124" s="80">
        <v>26380</v>
      </c>
      <c r="I124" s="80">
        <v>27120</v>
      </c>
      <c r="J124" s="80">
        <v>27080</v>
      </c>
      <c r="K124" s="80">
        <v>26900</v>
      </c>
      <c r="L124" s="80">
        <v>26120</v>
      </c>
      <c r="M124" s="80">
        <v>25940</v>
      </c>
      <c r="N124" s="80">
        <v>25820</v>
      </c>
      <c r="O124" s="80">
        <v>26310</v>
      </c>
      <c r="P124" s="80">
        <v>26750</v>
      </c>
      <c r="Q124" s="80">
        <v>26670</v>
      </c>
      <c r="R124" s="80">
        <v>27350</v>
      </c>
      <c r="S124" s="80">
        <v>27220</v>
      </c>
      <c r="T124" s="80">
        <v>26350</v>
      </c>
      <c r="U124" s="80">
        <v>25660</v>
      </c>
      <c r="V124" s="80">
        <v>24750</v>
      </c>
      <c r="W124" s="80">
        <v>24200</v>
      </c>
      <c r="X124" s="80">
        <v>24190</v>
      </c>
      <c r="Y124" s="80">
        <v>23750</v>
      </c>
      <c r="Z124" s="80">
        <v>24430</v>
      </c>
      <c r="AA124" s="80">
        <v>24910</v>
      </c>
      <c r="AB124" s="80">
        <v>25640</v>
      </c>
      <c r="AC124" s="80">
        <v>25950</v>
      </c>
      <c r="AD124" s="80">
        <v>27000</v>
      </c>
      <c r="AE124" s="80">
        <v>27490</v>
      </c>
      <c r="AF124" s="80">
        <v>27980</v>
      </c>
      <c r="AG124" s="80">
        <v>29220</v>
      </c>
      <c r="AH124" s="80">
        <v>30630</v>
      </c>
      <c r="AI124" s="80">
        <v>32130</v>
      </c>
      <c r="AJ124" s="80">
        <v>34050</v>
      </c>
      <c r="AK124" s="80">
        <v>36150</v>
      </c>
      <c r="AL124" s="80">
        <v>38000</v>
      </c>
      <c r="AM124" s="80">
        <v>38260</v>
      </c>
      <c r="AN124" s="80">
        <v>38650</v>
      </c>
      <c r="AO124" s="80">
        <v>38110</v>
      </c>
      <c r="AP124" s="80">
        <v>38280</v>
      </c>
      <c r="AQ124" s="80">
        <v>38110</v>
      </c>
      <c r="AR124" s="80">
        <v>36660</v>
      </c>
      <c r="AS124" s="80">
        <v>35680</v>
      </c>
      <c r="AT124" s="80">
        <v>34590</v>
      </c>
      <c r="AU124" s="80">
        <v>34730</v>
      </c>
      <c r="AV124" s="80">
        <v>33500</v>
      </c>
      <c r="AW124" s="80">
        <v>31940</v>
      </c>
      <c r="AX124" s="80">
        <v>31970</v>
      </c>
      <c r="AY124" s="80">
        <v>32420</v>
      </c>
      <c r="AZ124" s="80">
        <v>32260</v>
      </c>
      <c r="BA124" s="80">
        <v>32770</v>
      </c>
      <c r="BB124" s="80">
        <v>34270</v>
      </c>
      <c r="BC124" s="80">
        <v>35450</v>
      </c>
      <c r="BD124" s="80">
        <v>35810</v>
      </c>
    </row>
    <row r="125" spans="3:56" x14ac:dyDescent="0.2">
      <c r="C125" s="28">
        <v>60</v>
      </c>
      <c r="E125" s="80">
        <v>23150</v>
      </c>
      <c r="F125" s="80">
        <v>23250</v>
      </c>
      <c r="G125" s="80">
        <v>24610</v>
      </c>
      <c r="H125" s="80">
        <v>25110</v>
      </c>
      <c r="I125" s="80">
        <v>26000</v>
      </c>
      <c r="J125" s="80">
        <v>26720</v>
      </c>
      <c r="K125" s="80">
        <v>26690</v>
      </c>
      <c r="L125" s="80">
        <v>26520</v>
      </c>
      <c r="M125" s="80">
        <v>25750</v>
      </c>
      <c r="N125" s="80">
        <v>25580</v>
      </c>
      <c r="O125" s="80">
        <v>25470</v>
      </c>
      <c r="P125" s="80">
        <v>25960</v>
      </c>
      <c r="Q125" s="80">
        <v>26390</v>
      </c>
      <c r="R125" s="80">
        <v>26310</v>
      </c>
      <c r="S125" s="80">
        <v>26990</v>
      </c>
      <c r="T125" s="80">
        <v>26860</v>
      </c>
      <c r="U125" s="80">
        <v>26010</v>
      </c>
      <c r="V125" s="80">
        <v>25330</v>
      </c>
      <c r="W125" s="80">
        <v>24440</v>
      </c>
      <c r="X125" s="80">
        <v>23900</v>
      </c>
      <c r="Y125" s="80">
        <v>23890</v>
      </c>
      <c r="Z125" s="80">
        <v>23460</v>
      </c>
      <c r="AA125" s="80">
        <v>24130</v>
      </c>
      <c r="AB125" s="80">
        <v>24610</v>
      </c>
      <c r="AC125" s="80">
        <v>25330</v>
      </c>
      <c r="AD125" s="80">
        <v>25630</v>
      </c>
      <c r="AE125" s="80">
        <v>26670</v>
      </c>
      <c r="AF125" s="80">
        <v>27160</v>
      </c>
      <c r="AG125" s="80">
        <v>27640</v>
      </c>
      <c r="AH125" s="80">
        <v>28870</v>
      </c>
      <c r="AI125" s="80">
        <v>30260</v>
      </c>
      <c r="AJ125" s="80">
        <v>31740</v>
      </c>
      <c r="AK125" s="80">
        <v>33630</v>
      </c>
      <c r="AL125" s="80">
        <v>35700</v>
      </c>
      <c r="AM125" s="80">
        <v>37530</v>
      </c>
      <c r="AN125" s="80">
        <v>37790</v>
      </c>
      <c r="AO125" s="80">
        <v>38170</v>
      </c>
      <c r="AP125" s="80">
        <v>37640</v>
      </c>
      <c r="AQ125" s="80">
        <v>37820</v>
      </c>
      <c r="AR125" s="80">
        <v>37650</v>
      </c>
      <c r="AS125" s="80">
        <v>36220</v>
      </c>
      <c r="AT125" s="80">
        <v>35250</v>
      </c>
      <c r="AU125" s="80">
        <v>34180</v>
      </c>
      <c r="AV125" s="80">
        <v>34320</v>
      </c>
      <c r="AW125" s="80">
        <v>33110</v>
      </c>
      <c r="AX125" s="80">
        <v>31570</v>
      </c>
      <c r="AY125" s="80">
        <v>31610</v>
      </c>
      <c r="AZ125" s="80">
        <v>32050</v>
      </c>
      <c r="BA125" s="80">
        <v>31890</v>
      </c>
      <c r="BB125" s="80">
        <v>32390</v>
      </c>
      <c r="BC125" s="80">
        <v>33870</v>
      </c>
      <c r="BD125" s="80">
        <v>35040</v>
      </c>
    </row>
    <row r="126" spans="3:56" x14ac:dyDescent="0.2">
      <c r="C126" s="28">
        <v>61</v>
      </c>
      <c r="E126" s="80">
        <v>21900</v>
      </c>
      <c r="F126" s="80">
        <v>22610</v>
      </c>
      <c r="G126" s="80">
        <v>22700</v>
      </c>
      <c r="H126" s="80">
        <v>24010</v>
      </c>
      <c r="I126" s="80">
        <v>24490</v>
      </c>
      <c r="J126" s="80">
        <v>25350</v>
      </c>
      <c r="K126" s="80">
        <v>26060</v>
      </c>
      <c r="L126" s="80">
        <v>26030</v>
      </c>
      <c r="M126" s="80">
        <v>25860</v>
      </c>
      <c r="N126" s="80">
        <v>25130</v>
      </c>
      <c r="O126" s="80">
        <v>24960</v>
      </c>
      <c r="P126" s="80">
        <v>24850</v>
      </c>
      <c r="Q126" s="80">
        <v>25340</v>
      </c>
      <c r="R126" s="80">
        <v>25760</v>
      </c>
      <c r="S126" s="80">
        <v>25690</v>
      </c>
      <c r="T126" s="80">
        <v>26350</v>
      </c>
      <c r="U126" s="80">
        <v>26230</v>
      </c>
      <c r="V126" s="80">
        <v>25400</v>
      </c>
      <c r="W126" s="80">
        <v>24740</v>
      </c>
      <c r="X126" s="80">
        <v>23870</v>
      </c>
      <c r="Y126" s="80">
        <v>23350</v>
      </c>
      <c r="Z126" s="80">
        <v>23350</v>
      </c>
      <c r="AA126" s="80">
        <v>22920</v>
      </c>
      <c r="AB126" s="80">
        <v>23580</v>
      </c>
      <c r="AC126" s="80">
        <v>24050</v>
      </c>
      <c r="AD126" s="80">
        <v>24750</v>
      </c>
      <c r="AE126" s="80">
        <v>25050</v>
      </c>
      <c r="AF126" s="80">
        <v>26060</v>
      </c>
      <c r="AG126" s="80">
        <v>26540</v>
      </c>
      <c r="AH126" s="80">
        <v>27010</v>
      </c>
      <c r="AI126" s="80">
        <v>28210</v>
      </c>
      <c r="AJ126" s="80">
        <v>29560</v>
      </c>
      <c r="AK126" s="80">
        <v>31010</v>
      </c>
      <c r="AL126" s="80">
        <v>32850</v>
      </c>
      <c r="AM126" s="80">
        <v>34880</v>
      </c>
      <c r="AN126" s="80">
        <v>36660</v>
      </c>
      <c r="AO126" s="80">
        <v>36920</v>
      </c>
      <c r="AP126" s="80">
        <v>37290</v>
      </c>
      <c r="AQ126" s="80">
        <v>36780</v>
      </c>
      <c r="AR126" s="80">
        <v>36950</v>
      </c>
      <c r="AS126" s="80">
        <v>36780</v>
      </c>
      <c r="AT126" s="80">
        <v>35390</v>
      </c>
      <c r="AU126" s="80">
        <v>34450</v>
      </c>
      <c r="AV126" s="80">
        <v>33400</v>
      </c>
      <c r="AW126" s="80">
        <v>33550</v>
      </c>
      <c r="AX126" s="80">
        <v>32360</v>
      </c>
      <c r="AY126" s="80">
        <v>30860</v>
      </c>
      <c r="AZ126" s="80">
        <v>30900</v>
      </c>
      <c r="BA126" s="80">
        <v>31340</v>
      </c>
      <c r="BB126" s="80">
        <v>31180</v>
      </c>
      <c r="BC126" s="80">
        <v>31670</v>
      </c>
      <c r="BD126" s="80">
        <v>33120</v>
      </c>
    </row>
    <row r="127" spans="3:56" x14ac:dyDescent="0.2">
      <c r="C127" s="28">
        <v>62</v>
      </c>
      <c r="E127" s="80">
        <v>20380</v>
      </c>
      <c r="F127" s="80">
        <v>21240</v>
      </c>
      <c r="G127" s="80">
        <v>21930</v>
      </c>
      <c r="H127" s="80">
        <v>22010</v>
      </c>
      <c r="I127" s="80">
        <v>23270</v>
      </c>
      <c r="J127" s="80">
        <v>23720</v>
      </c>
      <c r="K127" s="80">
        <v>24560</v>
      </c>
      <c r="L127" s="80">
        <v>25260</v>
      </c>
      <c r="M127" s="80">
        <v>25240</v>
      </c>
      <c r="N127" s="80">
        <v>25080</v>
      </c>
      <c r="O127" s="80">
        <v>24370</v>
      </c>
      <c r="P127" s="80">
        <v>24220</v>
      </c>
      <c r="Q127" s="80">
        <v>24120</v>
      </c>
      <c r="R127" s="80">
        <v>24590</v>
      </c>
      <c r="S127" s="80">
        <v>25000</v>
      </c>
      <c r="T127" s="80">
        <v>24940</v>
      </c>
      <c r="U127" s="80">
        <v>25590</v>
      </c>
      <c r="V127" s="80">
        <v>25470</v>
      </c>
      <c r="W127" s="80">
        <v>24680</v>
      </c>
      <c r="X127" s="80">
        <v>24040</v>
      </c>
      <c r="Y127" s="80">
        <v>23200</v>
      </c>
      <c r="Z127" s="80">
        <v>22700</v>
      </c>
      <c r="AA127" s="80">
        <v>22700</v>
      </c>
      <c r="AB127" s="80">
        <v>22290</v>
      </c>
      <c r="AC127" s="80">
        <v>22930</v>
      </c>
      <c r="AD127" s="80">
        <v>23390</v>
      </c>
      <c r="AE127" s="80">
        <v>24070</v>
      </c>
      <c r="AF127" s="80">
        <v>24360</v>
      </c>
      <c r="AG127" s="80">
        <v>25340</v>
      </c>
      <c r="AH127" s="80">
        <v>25810</v>
      </c>
      <c r="AI127" s="80">
        <v>26270</v>
      </c>
      <c r="AJ127" s="80">
        <v>27430</v>
      </c>
      <c r="AK127" s="80">
        <v>28740</v>
      </c>
      <c r="AL127" s="80">
        <v>30150</v>
      </c>
      <c r="AM127" s="80">
        <v>31940</v>
      </c>
      <c r="AN127" s="80">
        <v>33910</v>
      </c>
      <c r="AO127" s="80">
        <v>35640</v>
      </c>
      <c r="AP127" s="80">
        <v>35890</v>
      </c>
      <c r="AQ127" s="80">
        <v>36250</v>
      </c>
      <c r="AR127" s="80">
        <v>35760</v>
      </c>
      <c r="AS127" s="80">
        <v>35920</v>
      </c>
      <c r="AT127" s="80">
        <v>35770</v>
      </c>
      <c r="AU127" s="80">
        <v>34420</v>
      </c>
      <c r="AV127" s="80">
        <v>33510</v>
      </c>
      <c r="AW127" s="80">
        <v>32490</v>
      </c>
      <c r="AX127" s="80">
        <v>32630</v>
      </c>
      <c r="AY127" s="80">
        <v>31480</v>
      </c>
      <c r="AZ127" s="80">
        <v>30030</v>
      </c>
      <c r="BA127" s="80">
        <v>30070</v>
      </c>
      <c r="BB127" s="80">
        <v>30490</v>
      </c>
      <c r="BC127" s="80">
        <v>30350</v>
      </c>
      <c r="BD127" s="80">
        <v>30820</v>
      </c>
    </row>
    <row r="128" spans="3:56" x14ac:dyDescent="0.2">
      <c r="C128" s="28">
        <v>63</v>
      </c>
      <c r="E128" s="80">
        <v>18920</v>
      </c>
      <c r="F128" s="80">
        <v>19540</v>
      </c>
      <c r="G128" s="80">
        <v>20360</v>
      </c>
      <c r="H128" s="80">
        <v>21010</v>
      </c>
      <c r="I128" s="80">
        <v>21090</v>
      </c>
      <c r="J128" s="80">
        <v>22290</v>
      </c>
      <c r="K128" s="80">
        <v>22740</v>
      </c>
      <c r="L128" s="80">
        <v>23550</v>
      </c>
      <c r="M128" s="80">
        <v>24220</v>
      </c>
      <c r="N128" s="80">
        <v>24210</v>
      </c>
      <c r="O128" s="80">
        <v>24070</v>
      </c>
      <c r="P128" s="80">
        <v>23400</v>
      </c>
      <c r="Q128" s="80">
        <v>23260</v>
      </c>
      <c r="R128" s="80">
        <v>23170</v>
      </c>
      <c r="S128" s="80">
        <v>23630</v>
      </c>
      <c r="T128" s="80">
        <v>24030</v>
      </c>
      <c r="U128" s="80">
        <v>23980</v>
      </c>
      <c r="V128" s="80">
        <v>24600</v>
      </c>
      <c r="W128" s="80">
        <v>24490</v>
      </c>
      <c r="X128" s="80">
        <v>23740</v>
      </c>
      <c r="Y128" s="80">
        <v>23130</v>
      </c>
      <c r="Z128" s="80">
        <v>22330</v>
      </c>
      <c r="AA128" s="80">
        <v>21850</v>
      </c>
      <c r="AB128" s="80">
        <v>21850</v>
      </c>
      <c r="AC128" s="80">
        <v>21460</v>
      </c>
      <c r="AD128" s="80">
        <v>22080</v>
      </c>
      <c r="AE128" s="80">
        <v>22520</v>
      </c>
      <c r="AF128" s="80">
        <v>23180</v>
      </c>
      <c r="AG128" s="80">
        <v>23460</v>
      </c>
      <c r="AH128" s="80">
        <v>24410</v>
      </c>
      <c r="AI128" s="80">
        <v>24860</v>
      </c>
      <c r="AJ128" s="80">
        <v>25300</v>
      </c>
      <c r="AK128" s="80">
        <v>26420</v>
      </c>
      <c r="AL128" s="80">
        <v>27680</v>
      </c>
      <c r="AM128" s="80">
        <v>29040</v>
      </c>
      <c r="AN128" s="80">
        <v>30760</v>
      </c>
      <c r="AO128" s="80">
        <v>32650</v>
      </c>
      <c r="AP128" s="80">
        <v>34320</v>
      </c>
      <c r="AQ128" s="80">
        <v>34560</v>
      </c>
      <c r="AR128" s="80">
        <v>34910</v>
      </c>
      <c r="AS128" s="80">
        <v>34440</v>
      </c>
      <c r="AT128" s="80">
        <v>34600</v>
      </c>
      <c r="AU128" s="80">
        <v>34450</v>
      </c>
      <c r="AV128" s="80">
        <v>33150</v>
      </c>
      <c r="AW128" s="80">
        <v>32280</v>
      </c>
      <c r="AX128" s="80">
        <v>31300</v>
      </c>
      <c r="AY128" s="80">
        <v>31440</v>
      </c>
      <c r="AZ128" s="80">
        <v>30340</v>
      </c>
      <c r="BA128" s="80">
        <v>28940</v>
      </c>
      <c r="BB128" s="80">
        <v>28980</v>
      </c>
      <c r="BC128" s="80">
        <v>29390</v>
      </c>
      <c r="BD128" s="80">
        <v>29250</v>
      </c>
    </row>
    <row r="129" spans="3:56" x14ac:dyDescent="0.2">
      <c r="C129" s="28">
        <v>64</v>
      </c>
      <c r="E129" s="80">
        <v>16980</v>
      </c>
      <c r="F129" s="80">
        <v>17730</v>
      </c>
      <c r="G129" s="80">
        <v>18310</v>
      </c>
      <c r="H129" s="80">
        <v>19090</v>
      </c>
      <c r="I129" s="80">
        <v>19700</v>
      </c>
      <c r="J129" s="80">
        <v>19780</v>
      </c>
      <c r="K129" s="80">
        <v>20920</v>
      </c>
      <c r="L129" s="80">
        <v>21350</v>
      </c>
      <c r="M129" s="80">
        <v>22120</v>
      </c>
      <c r="N129" s="80">
        <v>22770</v>
      </c>
      <c r="O129" s="80">
        <v>22770</v>
      </c>
      <c r="P129" s="80">
        <v>22650</v>
      </c>
      <c r="Q129" s="80">
        <v>22030</v>
      </c>
      <c r="R129" s="80">
        <v>21910</v>
      </c>
      <c r="S129" s="80">
        <v>21840</v>
      </c>
      <c r="T129" s="80">
        <v>22280</v>
      </c>
      <c r="U129" s="80">
        <v>22660</v>
      </c>
      <c r="V129" s="80">
        <v>22620</v>
      </c>
      <c r="W129" s="80">
        <v>23210</v>
      </c>
      <c r="X129" s="80">
        <v>23120</v>
      </c>
      <c r="Y129" s="80">
        <v>22410</v>
      </c>
      <c r="Z129" s="80">
        <v>21840</v>
      </c>
      <c r="AA129" s="80">
        <v>21090</v>
      </c>
      <c r="AB129" s="80">
        <v>20640</v>
      </c>
      <c r="AC129" s="80">
        <v>20650</v>
      </c>
      <c r="AD129" s="80">
        <v>20290</v>
      </c>
      <c r="AE129" s="80">
        <v>20870</v>
      </c>
      <c r="AF129" s="80">
        <v>21290</v>
      </c>
      <c r="AG129" s="80">
        <v>21920</v>
      </c>
      <c r="AH129" s="80">
        <v>22180</v>
      </c>
      <c r="AI129" s="80">
        <v>23080</v>
      </c>
      <c r="AJ129" s="80">
        <v>23510</v>
      </c>
      <c r="AK129" s="80">
        <v>23930</v>
      </c>
      <c r="AL129" s="80">
        <v>24990</v>
      </c>
      <c r="AM129" s="80">
        <v>26180</v>
      </c>
      <c r="AN129" s="80">
        <v>27460</v>
      </c>
      <c r="AO129" s="80">
        <v>29090</v>
      </c>
      <c r="AP129" s="80">
        <v>30870</v>
      </c>
      <c r="AQ129" s="80">
        <v>32450</v>
      </c>
      <c r="AR129" s="80">
        <v>32680</v>
      </c>
      <c r="AS129" s="80">
        <v>33020</v>
      </c>
      <c r="AT129" s="80">
        <v>32570</v>
      </c>
      <c r="AU129" s="80">
        <v>32720</v>
      </c>
      <c r="AV129" s="80">
        <v>32590</v>
      </c>
      <c r="AW129" s="80">
        <v>31370</v>
      </c>
      <c r="AX129" s="80">
        <v>30540</v>
      </c>
      <c r="AY129" s="80">
        <v>29620</v>
      </c>
      <c r="AZ129" s="80">
        <v>29750</v>
      </c>
      <c r="BA129" s="80">
        <v>28710</v>
      </c>
      <c r="BB129" s="80">
        <v>27400</v>
      </c>
      <c r="BC129" s="80">
        <v>27440</v>
      </c>
      <c r="BD129" s="80">
        <v>27820</v>
      </c>
    </row>
    <row r="130" spans="3:56" x14ac:dyDescent="0.2">
      <c r="C130" s="28">
        <v>65</v>
      </c>
      <c r="E130" s="80">
        <v>15270</v>
      </c>
      <c r="F130" s="80">
        <v>15560</v>
      </c>
      <c r="G130" s="80">
        <v>16260</v>
      </c>
      <c r="H130" s="80">
        <v>16800</v>
      </c>
      <c r="I130" s="80">
        <v>17510</v>
      </c>
      <c r="J130" s="80">
        <v>18080</v>
      </c>
      <c r="K130" s="80">
        <v>18170</v>
      </c>
      <c r="L130" s="80">
        <v>19230</v>
      </c>
      <c r="M130" s="80">
        <v>19640</v>
      </c>
      <c r="N130" s="80">
        <v>20360</v>
      </c>
      <c r="O130" s="80">
        <v>20970</v>
      </c>
      <c r="P130" s="80">
        <v>20980</v>
      </c>
      <c r="Q130" s="80">
        <v>20890</v>
      </c>
      <c r="R130" s="80">
        <v>20330</v>
      </c>
      <c r="S130" s="80">
        <v>20220</v>
      </c>
      <c r="T130" s="80">
        <v>20160</v>
      </c>
      <c r="U130" s="80">
        <v>20580</v>
      </c>
      <c r="V130" s="80">
        <v>20940</v>
      </c>
      <c r="W130" s="80">
        <v>20910</v>
      </c>
      <c r="X130" s="80">
        <v>21460</v>
      </c>
      <c r="Y130" s="80">
        <v>21380</v>
      </c>
      <c r="Z130" s="80">
        <v>20730</v>
      </c>
      <c r="AA130" s="80">
        <v>20210</v>
      </c>
      <c r="AB130" s="80">
        <v>19530</v>
      </c>
      <c r="AC130" s="80">
        <v>19120</v>
      </c>
      <c r="AD130" s="80">
        <v>19130</v>
      </c>
      <c r="AE130" s="80">
        <v>18800</v>
      </c>
      <c r="AF130" s="80">
        <v>19340</v>
      </c>
      <c r="AG130" s="80">
        <v>19730</v>
      </c>
      <c r="AH130" s="80">
        <v>20310</v>
      </c>
      <c r="AI130" s="80">
        <v>20560</v>
      </c>
      <c r="AJ130" s="80">
        <v>21390</v>
      </c>
      <c r="AK130" s="80">
        <v>21790</v>
      </c>
      <c r="AL130" s="80">
        <v>22180</v>
      </c>
      <c r="AM130" s="80">
        <v>23160</v>
      </c>
      <c r="AN130" s="80">
        <v>24270</v>
      </c>
      <c r="AO130" s="80">
        <v>25450</v>
      </c>
      <c r="AP130" s="80">
        <v>26960</v>
      </c>
      <c r="AQ130" s="80">
        <v>28620</v>
      </c>
      <c r="AR130" s="80">
        <v>30080</v>
      </c>
      <c r="AS130" s="80">
        <v>30290</v>
      </c>
      <c r="AT130" s="80">
        <v>30600</v>
      </c>
      <c r="AU130" s="80">
        <v>30190</v>
      </c>
      <c r="AV130" s="80">
        <v>30340</v>
      </c>
      <c r="AW130" s="80">
        <v>30210</v>
      </c>
      <c r="AX130" s="80">
        <v>29090</v>
      </c>
      <c r="AY130" s="80">
        <v>28320</v>
      </c>
      <c r="AZ130" s="80">
        <v>27480</v>
      </c>
      <c r="BA130" s="80">
        <v>27600</v>
      </c>
      <c r="BB130" s="80">
        <v>26640</v>
      </c>
      <c r="BC130" s="80">
        <v>25420</v>
      </c>
      <c r="BD130" s="80">
        <v>25450</v>
      </c>
    </row>
    <row r="131" spans="3:56" x14ac:dyDescent="0.2">
      <c r="C131" s="28">
        <v>66</v>
      </c>
      <c r="E131" s="80">
        <v>13600</v>
      </c>
      <c r="F131" s="80">
        <v>13870</v>
      </c>
      <c r="G131" s="80">
        <v>14140</v>
      </c>
      <c r="H131" s="80">
        <v>14770</v>
      </c>
      <c r="I131" s="80">
        <v>15260</v>
      </c>
      <c r="J131" s="80">
        <v>15900</v>
      </c>
      <c r="K131" s="80">
        <v>16430</v>
      </c>
      <c r="L131" s="80">
        <v>16520</v>
      </c>
      <c r="M131" s="80">
        <v>17480</v>
      </c>
      <c r="N131" s="80">
        <v>17860</v>
      </c>
      <c r="O131" s="80">
        <v>18520</v>
      </c>
      <c r="P131" s="80">
        <v>19080</v>
      </c>
      <c r="Q131" s="80">
        <v>19100</v>
      </c>
      <c r="R131" s="80">
        <v>19010</v>
      </c>
      <c r="S131" s="80">
        <v>18510</v>
      </c>
      <c r="T131" s="80">
        <v>18420</v>
      </c>
      <c r="U131" s="80">
        <v>18370</v>
      </c>
      <c r="V131" s="80">
        <v>18750</v>
      </c>
      <c r="W131" s="80">
        <v>19080</v>
      </c>
      <c r="X131" s="80">
        <v>19060</v>
      </c>
      <c r="Y131" s="80">
        <v>19570</v>
      </c>
      <c r="Z131" s="80">
        <v>19500</v>
      </c>
      <c r="AA131" s="80">
        <v>18910</v>
      </c>
      <c r="AB131" s="80">
        <v>18440</v>
      </c>
      <c r="AC131" s="80">
        <v>17820</v>
      </c>
      <c r="AD131" s="80">
        <v>17440</v>
      </c>
      <c r="AE131" s="80">
        <v>17460</v>
      </c>
      <c r="AF131" s="80">
        <v>17160</v>
      </c>
      <c r="AG131" s="80">
        <v>17650</v>
      </c>
      <c r="AH131" s="80">
        <v>18010</v>
      </c>
      <c r="AI131" s="80">
        <v>18540</v>
      </c>
      <c r="AJ131" s="80">
        <v>18770</v>
      </c>
      <c r="AK131" s="80">
        <v>19530</v>
      </c>
      <c r="AL131" s="80">
        <v>19890</v>
      </c>
      <c r="AM131" s="80">
        <v>20250</v>
      </c>
      <c r="AN131" s="80">
        <v>21150</v>
      </c>
      <c r="AO131" s="80">
        <v>22160</v>
      </c>
      <c r="AP131" s="80">
        <v>23240</v>
      </c>
      <c r="AQ131" s="80">
        <v>24620</v>
      </c>
      <c r="AR131" s="80">
        <v>26130</v>
      </c>
      <c r="AS131" s="80">
        <v>27460</v>
      </c>
      <c r="AT131" s="80">
        <v>27660</v>
      </c>
      <c r="AU131" s="80">
        <v>27950</v>
      </c>
      <c r="AV131" s="80">
        <v>27570</v>
      </c>
      <c r="AW131" s="80">
        <v>27710</v>
      </c>
      <c r="AX131" s="80">
        <v>27600</v>
      </c>
      <c r="AY131" s="80">
        <v>26570</v>
      </c>
      <c r="AZ131" s="80">
        <v>25880</v>
      </c>
      <c r="BA131" s="80">
        <v>25100</v>
      </c>
      <c r="BB131" s="80">
        <v>25220</v>
      </c>
      <c r="BC131" s="80">
        <v>24340</v>
      </c>
      <c r="BD131" s="80">
        <v>23230</v>
      </c>
    </row>
    <row r="132" spans="3:56" x14ac:dyDescent="0.2">
      <c r="C132" s="28">
        <v>67</v>
      </c>
      <c r="E132" s="80">
        <v>11940</v>
      </c>
      <c r="F132" s="80">
        <v>12170</v>
      </c>
      <c r="G132" s="80">
        <v>12430</v>
      </c>
      <c r="H132" s="80">
        <v>12670</v>
      </c>
      <c r="I132" s="80">
        <v>13240</v>
      </c>
      <c r="J132" s="80">
        <v>13680</v>
      </c>
      <c r="K132" s="80">
        <v>14270</v>
      </c>
      <c r="L132" s="80">
        <v>14750</v>
      </c>
      <c r="M132" s="80">
        <v>14840</v>
      </c>
      <c r="N132" s="80">
        <v>15720</v>
      </c>
      <c r="O132" s="80">
        <v>16070</v>
      </c>
      <c r="P132" s="80">
        <v>16680</v>
      </c>
      <c r="Q132" s="80">
        <v>17180</v>
      </c>
      <c r="R132" s="80">
        <v>17210</v>
      </c>
      <c r="S132" s="80">
        <v>17140</v>
      </c>
      <c r="T132" s="80">
        <v>16700</v>
      </c>
      <c r="U132" s="80">
        <v>16620</v>
      </c>
      <c r="V132" s="80">
        <v>16580</v>
      </c>
      <c r="W132" s="80">
        <v>16930</v>
      </c>
      <c r="X132" s="80">
        <v>17240</v>
      </c>
      <c r="Y132" s="80">
        <v>17220</v>
      </c>
      <c r="Z132" s="80">
        <v>17680</v>
      </c>
      <c r="AA132" s="80">
        <v>17620</v>
      </c>
      <c r="AB132" s="80">
        <v>17100</v>
      </c>
      <c r="AC132" s="80">
        <v>16680</v>
      </c>
      <c r="AD132" s="80">
        <v>16120</v>
      </c>
      <c r="AE132" s="80">
        <v>15780</v>
      </c>
      <c r="AF132" s="80">
        <v>15800</v>
      </c>
      <c r="AG132" s="80">
        <v>15530</v>
      </c>
      <c r="AH132" s="80">
        <v>15980</v>
      </c>
      <c r="AI132" s="80">
        <v>16310</v>
      </c>
      <c r="AJ132" s="80">
        <v>16790</v>
      </c>
      <c r="AK132" s="80">
        <v>16990</v>
      </c>
      <c r="AL132" s="80">
        <v>17690</v>
      </c>
      <c r="AM132" s="80">
        <v>18020</v>
      </c>
      <c r="AN132" s="80">
        <v>18340</v>
      </c>
      <c r="AO132" s="80">
        <v>19150</v>
      </c>
      <c r="AP132" s="80">
        <v>20070</v>
      </c>
      <c r="AQ132" s="80">
        <v>21050</v>
      </c>
      <c r="AR132" s="80">
        <v>22300</v>
      </c>
      <c r="AS132" s="80">
        <v>23670</v>
      </c>
      <c r="AT132" s="80">
        <v>24880</v>
      </c>
      <c r="AU132" s="80">
        <v>25060</v>
      </c>
      <c r="AV132" s="80">
        <v>25320</v>
      </c>
      <c r="AW132" s="80">
        <v>24980</v>
      </c>
      <c r="AX132" s="80">
        <v>25110</v>
      </c>
      <c r="AY132" s="80">
        <v>25010</v>
      </c>
      <c r="AZ132" s="80">
        <v>24080</v>
      </c>
      <c r="BA132" s="80">
        <v>23460</v>
      </c>
      <c r="BB132" s="80">
        <v>22760</v>
      </c>
      <c r="BC132" s="80">
        <v>22860</v>
      </c>
      <c r="BD132" s="80">
        <v>22070</v>
      </c>
    </row>
    <row r="133" spans="3:56" x14ac:dyDescent="0.2">
      <c r="C133" s="28">
        <v>68</v>
      </c>
      <c r="E133" s="80">
        <v>10370</v>
      </c>
      <c r="F133" s="80">
        <v>10610</v>
      </c>
      <c r="G133" s="80">
        <v>10830</v>
      </c>
      <c r="H133" s="80">
        <v>11070</v>
      </c>
      <c r="I133" s="80">
        <v>11300</v>
      </c>
      <c r="J133" s="80">
        <v>11820</v>
      </c>
      <c r="K133" s="80">
        <v>12230</v>
      </c>
      <c r="L133" s="80">
        <v>12780</v>
      </c>
      <c r="M133" s="80">
        <v>13220</v>
      </c>
      <c r="N133" s="80">
        <v>13320</v>
      </c>
      <c r="O133" s="80">
        <v>14120</v>
      </c>
      <c r="P133" s="80">
        <v>14450</v>
      </c>
      <c r="Q133" s="80">
        <v>15010</v>
      </c>
      <c r="R133" s="80">
        <v>15470</v>
      </c>
      <c r="S133" s="80">
        <v>15510</v>
      </c>
      <c r="T133" s="80">
        <v>15460</v>
      </c>
      <c r="U133" s="80">
        <v>15070</v>
      </c>
      <c r="V133" s="80">
        <v>15010</v>
      </c>
      <c r="W133" s="80">
        <v>14980</v>
      </c>
      <c r="X133" s="80">
        <v>15300</v>
      </c>
      <c r="Y133" s="80">
        <v>15590</v>
      </c>
      <c r="Z133" s="80">
        <v>15580</v>
      </c>
      <c r="AA133" s="80">
        <v>16000</v>
      </c>
      <c r="AB133" s="80">
        <v>15950</v>
      </c>
      <c r="AC133" s="80">
        <v>15480</v>
      </c>
      <c r="AD133" s="80">
        <v>15110</v>
      </c>
      <c r="AE133" s="80">
        <v>14610</v>
      </c>
      <c r="AF133" s="80">
        <v>14310</v>
      </c>
      <c r="AG133" s="80">
        <v>14320</v>
      </c>
      <c r="AH133" s="80">
        <v>14080</v>
      </c>
      <c r="AI133" s="80">
        <v>14490</v>
      </c>
      <c r="AJ133" s="80">
        <v>14790</v>
      </c>
      <c r="AK133" s="80">
        <v>15230</v>
      </c>
      <c r="AL133" s="80">
        <v>15420</v>
      </c>
      <c r="AM133" s="80">
        <v>16050</v>
      </c>
      <c r="AN133" s="80">
        <v>16350</v>
      </c>
      <c r="AO133" s="80">
        <v>16650</v>
      </c>
      <c r="AP133" s="80">
        <v>17390</v>
      </c>
      <c r="AQ133" s="80">
        <v>18220</v>
      </c>
      <c r="AR133" s="80">
        <v>19110</v>
      </c>
      <c r="AS133" s="80">
        <v>20240</v>
      </c>
      <c r="AT133" s="80">
        <v>21490</v>
      </c>
      <c r="AU133" s="80">
        <v>22590</v>
      </c>
      <c r="AV133" s="80">
        <v>22750</v>
      </c>
      <c r="AW133" s="80">
        <v>22990</v>
      </c>
      <c r="AX133" s="80">
        <v>22690</v>
      </c>
      <c r="AY133" s="80">
        <v>22810</v>
      </c>
      <c r="AZ133" s="80">
        <v>22720</v>
      </c>
      <c r="BA133" s="80">
        <v>21880</v>
      </c>
      <c r="BB133" s="80">
        <v>21310</v>
      </c>
      <c r="BC133" s="80">
        <v>20680</v>
      </c>
      <c r="BD133" s="80">
        <v>20780</v>
      </c>
    </row>
    <row r="134" spans="3:56" x14ac:dyDescent="0.2">
      <c r="C134" s="28">
        <v>69</v>
      </c>
      <c r="E134" s="80">
        <v>9150</v>
      </c>
      <c r="F134" s="80">
        <v>9260</v>
      </c>
      <c r="G134" s="80">
        <v>9470</v>
      </c>
      <c r="H134" s="80">
        <v>9670</v>
      </c>
      <c r="I134" s="80">
        <v>9890</v>
      </c>
      <c r="J134" s="80">
        <v>10090</v>
      </c>
      <c r="K134" s="80">
        <v>10570</v>
      </c>
      <c r="L134" s="80">
        <v>10940</v>
      </c>
      <c r="M134" s="80">
        <v>11430</v>
      </c>
      <c r="N134" s="80">
        <v>11830</v>
      </c>
      <c r="O134" s="80">
        <v>11920</v>
      </c>
      <c r="P134" s="80">
        <v>12640</v>
      </c>
      <c r="Q134" s="80">
        <v>12940</v>
      </c>
      <c r="R134" s="80">
        <v>13440</v>
      </c>
      <c r="S134" s="80">
        <v>13860</v>
      </c>
      <c r="T134" s="80">
        <v>13900</v>
      </c>
      <c r="U134" s="80">
        <v>13860</v>
      </c>
      <c r="V134" s="80">
        <v>13510</v>
      </c>
      <c r="W134" s="80">
        <v>13460</v>
      </c>
      <c r="X134" s="80">
        <v>13440</v>
      </c>
      <c r="Y134" s="80">
        <v>13730</v>
      </c>
      <c r="Z134" s="80">
        <v>13990</v>
      </c>
      <c r="AA134" s="80">
        <v>13980</v>
      </c>
      <c r="AB134" s="80">
        <v>14360</v>
      </c>
      <c r="AC134" s="80">
        <v>14320</v>
      </c>
      <c r="AD134" s="80">
        <v>13900</v>
      </c>
      <c r="AE134" s="80">
        <v>13570</v>
      </c>
      <c r="AF134" s="80">
        <v>13120</v>
      </c>
      <c r="AG134" s="80">
        <v>12850</v>
      </c>
      <c r="AH134" s="80">
        <v>12870</v>
      </c>
      <c r="AI134" s="80">
        <v>12650</v>
      </c>
      <c r="AJ134" s="80">
        <v>13020</v>
      </c>
      <c r="AK134" s="80">
        <v>13290</v>
      </c>
      <c r="AL134" s="80">
        <v>13690</v>
      </c>
      <c r="AM134" s="80">
        <v>13860</v>
      </c>
      <c r="AN134" s="80">
        <v>14420</v>
      </c>
      <c r="AO134" s="80">
        <v>14700</v>
      </c>
      <c r="AP134" s="80">
        <v>14960</v>
      </c>
      <c r="AQ134" s="80">
        <v>15630</v>
      </c>
      <c r="AR134" s="80">
        <v>16380</v>
      </c>
      <c r="AS134" s="80">
        <v>17180</v>
      </c>
      <c r="AT134" s="80">
        <v>18200</v>
      </c>
      <c r="AU134" s="80">
        <v>19320</v>
      </c>
      <c r="AV134" s="80">
        <v>20310</v>
      </c>
      <c r="AW134" s="80">
        <v>20460</v>
      </c>
      <c r="AX134" s="80">
        <v>20680</v>
      </c>
      <c r="AY134" s="80">
        <v>20410</v>
      </c>
      <c r="AZ134" s="80">
        <v>20510</v>
      </c>
      <c r="BA134" s="80">
        <v>20440</v>
      </c>
      <c r="BB134" s="80">
        <v>19680</v>
      </c>
      <c r="BC134" s="80">
        <v>19180</v>
      </c>
      <c r="BD134" s="80">
        <v>18610</v>
      </c>
    </row>
    <row r="135" spans="3:56" x14ac:dyDescent="0.2">
      <c r="C135" s="28">
        <v>70</v>
      </c>
      <c r="E135" s="80">
        <v>8000</v>
      </c>
      <c r="F135" s="80">
        <v>8090</v>
      </c>
      <c r="G135" s="80">
        <v>8180</v>
      </c>
      <c r="H135" s="80">
        <v>8360</v>
      </c>
      <c r="I135" s="80">
        <v>8530</v>
      </c>
      <c r="J135" s="80">
        <v>8720</v>
      </c>
      <c r="K135" s="80">
        <v>8900</v>
      </c>
      <c r="L135" s="80">
        <v>9310</v>
      </c>
      <c r="M135" s="80">
        <v>9630</v>
      </c>
      <c r="N135" s="80">
        <v>10070</v>
      </c>
      <c r="O135" s="80">
        <v>10420</v>
      </c>
      <c r="P135" s="80">
        <v>10500</v>
      </c>
      <c r="Q135" s="80">
        <v>11130</v>
      </c>
      <c r="R135" s="80">
        <v>11390</v>
      </c>
      <c r="S135" s="80">
        <v>11830</v>
      </c>
      <c r="T135" s="80">
        <v>12200</v>
      </c>
      <c r="U135" s="80">
        <v>12230</v>
      </c>
      <c r="V135" s="80">
        <v>12190</v>
      </c>
      <c r="W135" s="80">
        <v>11890</v>
      </c>
      <c r="X135" s="80">
        <v>11840</v>
      </c>
      <c r="Y135" s="80">
        <v>11820</v>
      </c>
      <c r="Z135" s="80">
        <v>12080</v>
      </c>
      <c r="AA135" s="80">
        <v>12300</v>
      </c>
      <c r="AB135" s="80">
        <v>12300</v>
      </c>
      <c r="AC135" s="80">
        <v>12630</v>
      </c>
      <c r="AD135" s="80">
        <v>12600</v>
      </c>
      <c r="AE135" s="80">
        <v>12230</v>
      </c>
      <c r="AF135" s="80">
        <v>11940</v>
      </c>
      <c r="AG135" s="80">
        <v>11540</v>
      </c>
      <c r="AH135" s="80">
        <v>11310</v>
      </c>
      <c r="AI135" s="80">
        <v>11320</v>
      </c>
      <c r="AJ135" s="80">
        <v>11140</v>
      </c>
      <c r="AK135" s="80">
        <v>11460</v>
      </c>
      <c r="AL135" s="80">
        <v>11700</v>
      </c>
      <c r="AM135" s="80">
        <v>12050</v>
      </c>
      <c r="AN135" s="80">
        <v>12200</v>
      </c>
      <c r="AO135" s="80">
        <v>12700</v>
      </c>
      <c r="AP135" s="80">
        <v>12940</v>
      </c>
      <c r="AQ135" s="80">
        <v>13180</v>
      </c>
      <c r="AR135" s="80">
        <v>13760</v>
      </c>
      <c r="AS135" s="80">
        <v>14420</v>
      </c>
      <c r="AT135" s="80">
        <v>15130</v>
      </c>
      <c r="AU135" s="80">
        <v>16030</v>
      </c>
      <c r="AV135" s="80">
        <v>17020</v>
      </c>
      <c r="AW135" s="80">
        <v>17890</v>
      </c>
      <c r="AX135" s="80">
        <v>18030</v>
      </c>
      <c r="AY135" s="80">
        <v>18220</v>
      </c>
      <c r="AZ135" s="80">
        <v>17980</v>
      </c>
      <c r="BA135" s="80">
        <v>18080</v>
      </c>
      <c r="BB135" s="80">
        <v>18010</v>
      </c>
      <c r="BC135" s="80">
        <v>17350</v>
      </c>
      <c r="BD135" s="80">
        <v>16910</v>
      </c>
    </row>
    <row r="136" spans="3:56" x14ac:dyDescent="0.2">
      <c r="C136" s="28">
        <v>71</v>
      </c>
      <c r="E136" s="80">
        <v>5830</v>
      </c>
      <c r="F136" s="80">
        <v>7050</v>
      </c>
      <c r="G136" s="80">
        <v>7130</v>
      </c>
      <c r="H136" s="80">
        <v>7200</v>
      </c>
      <c r="I136" s="80">
        <v>7360</v>
      </c>
      <c r="J136" s="80">
        <v>7510</v>
      </c>
      <c r="K136" s="80">
        <v>7670</v>
      </c>
      <c r="L136" s="80">
        <v>7830</v>
      </c>
      <c r="M136" s="80">
        <v>8190</v>
      </c>
      <c r="N136" s="80">
        <v>8480</v>
      </c>
      <c r="O136" s="80">
        <v>8860</v>
      </c>
      <c r="P136" s="80">
        <v>9170</v>
      </c>
      <c r="Q136" s="80">
        <v>9230</v>
      </c>
      <c r="R136" s="80">
        <v>9790</v>
      </c>
      <c r="S136" s="80">
        <v>10020</v>
      </c>
      <c r="T136" s="80">
        <v>10410</v>
      </c>
      <c r="U136" s="80">
        <v>10730</v>
      </c>
      <c r="V136" s="80">
        <v>10760</v>
      </c>
      <c r="W136" s="80">
        <v>10730</v>
      </c>
      <c r="X136" s="80">
        <v>10460</v>
      </c>
      <c r="Y136" s="80">
        <v>10420</v>
      </c>
      <c r="Z136" s="80">
        <v>10410</v>
      </c>
      <c r="AA136" s="80">
        <v>10630</v>
      </c>
      <c r="AB136" s="80">
        <v>10830</v>
      </c>
      <c r="AC136" s="80">
        <v>10830</v>
      </c>
      <c r="AD136" s="80">
        <v>11120</v>
      </c>
      <c r="AE136" s="80">
        <v>11090</v>
      </c>
      <c r="AF136" s="80">
        <v>10770</v>
      </c>
      <c r="AG136" s="80">
        <v>10510</v>
      </c>
      <c r="AH136" s="80">
        <v>10170</v>
      </c>
      <c r="AI136" s="80">
        <v>9960</v>
      </c>
      <c r="AJ136" s="80">
        <v>9970</v>
      </c>
      <c r="AK136" s="80">
        <v>9810</v>
      </c>
      <c r="AL136" s="80">
        <v>10100</v>
      </c>
      <c r="AM136" s="80">
        <v>10310</v>
      </c>
      <c r="AN136" s="80">
        <v>10620</v>
      </c>
      <c r="AO136" s="80">
        <v>10750</v>
      </c>
      <c r="AP136" s="80">
        <v>11190</v>
      </c>
      <c r="AQ136" s="80">
        <v>11410</v>
      </c>
      <c r="AR136" s="80">
        <v>11620</v>
      </c>
      <c r="AS136" s="80">
        <v>12130</v>
      </c>
      <c r="AT136" s="80">
        <v>12720</v>
      </c>
      <c r="AU136" s="80">
        <v>13340</v>
      </c>
      <c r="AV136" s="80">
        <v>14140</v>
      </c>
      <c r="AW136" s="80">
        <v>15010</v>
      </c>
      <c r="AX136" s="80">
        <v>15780</v>
      </c>
      <c r="AY136" s="80">
        <v>15900</v>
      </c>
      <c r="AZ136" s="80">
        <v>16080</v>
      </c>
      <c r="BA136" s="80">
        <v>15870</v>
      </c>
      <c r="BB136" s="80">
        <v>15960</v>
      </c>
      <c r="BC136" s="80">
        <v>15900</v>
      </c>
      <c r="BD136" s="80">
        <v>15320</v>
      </c>
    </row>
    <row r="137" spans="3:56" x14ac:dyDescent="0.2">
      <c r="C137" s="28">
        <v>72</v>
      </c>
      <c r="E137" s="80">
        <v>4790</v>
      </c>
      <c r="F137" s="80">
        <v>5160</v>
      </c>
      <c r="G137" s="80">
        <v>6230</v>
      </c>
      <c r="H137" s="80">
        <v>6310</v>
      </c>
      <c r="I137" s="80">
        <v>6370</v>
      </c>
      <c r="J137" s="80">
        <v>6520</v>
      </c>
      <c r="K137" s="80">
        <v>6650</v>
      </c>
      <c r="L137" s="80">
        <v>6800</v>
      </c>
      <c r="M137" s="80">
        <v>6940</v>
      </c>
      <c r="N137" s="80">
        <v>7270</v>
      </c>
      <c r="O137" s="80">
        <v>7530</v>
      </c>
      <c r="P137" s="80">
        <v>7870</v>
      </c>
      <c r="Q137" s="80">
        <v>8150</v>
      </c>
      <c r="R137" s="80">
        <v>8210</v>
      </c>
      <c r="S137" s="80">
        <v>8710</v>
      </c>
      <c r="T137" s="80">
        <v>8910</v>
      </c>
      <c r="U137" s="80">
        <v>9260</v>
      </c>
      <c r="V137" s="80">
        <v>9560</v>
      </c>
      <c r="W137" s="80">
        <v>9580</v>
      </c>
      <c r="X137" s="80">
        <v>9560</v>
      </c>
      <c r="Y137" s="80">
        <v>9320</v>
      </c>
      <c r="Z137" s="80">
        <v>9290</v>
      </c>
      <c r="AA137" s="80">
        <v>9280</v>
      </c>
      <c r="AB137" s="80">
        <v>9480</v>
      </c>
      <c r="AC137" s="80">
        <v>9660</v>
      </c>
      <c r="AD137" s="80">
        <v>9660</v>
      </c>
      <c r="AE137" s="80">
        <v>9920</v>
      </c>
      <c r="AF137" s="80">
        <v>9900</v>
      </c>
      <c r="AG137" s="80">
        <v>9610</v>
      </c>
      <c r="AH137" s="80">
        <v>9380</v>
      </c>
      <c r="AI137" s="80">
        <v>9080</v>
      </c>
      <c r="AJ137" s="80">
        <v>8900</v>
      </c>
      <c r="AK137" s="80">
        <v>8910</v>
      </c>
      <c r="AL137" s="80">
        <v>8760</v>
      </c>
      <c r="AM137" s="80">
        <v>9020</v>
      </c>
      <c r="AN137" s="80">
        <v>9210</v>
      </c>
      <c r="AO137" s="80">
        <v>9490</v>
      </c>
      <c r="AP137" s="80">
        <v>9610</v>
      </c>
      <c r="AQ137" s="80">
        <v>10010</v>
      </c>
      <c r="AR137" s="80">
        <v>10200</v>
      </c>
      <c r="AS137" s="80">
        <v>10390</v>
      </c>
      <c r="AT137" s="80">
        <v>10850</v>
      </c>
      <c r="AU137" s="80">
        <v>11370</v>
      </c>
      <c r="AV137" s="80">
        <v>11940</v>
      </c>
      <c r="AW137" s="80">
        <v>12650</v>
      </c>
      <c r="AX137" s="80">
        <v>13430</v>
      </c>
      <c r="AY137" s="80">
        <v>14120</v>
      </c>
      <c r="AZ137" s="80">
        <v>14230</v>
      </c>
      <c r="BA137" s="80">
        <v>14390</v>
      </c>
      <c r="BB137" s="80">
        <v>14210</v>
      </c>
      <c r="BC137" s="80">
        <v>14280</v>
      </c>
      <c r="BD137" s="80">
        <v>14240</v>
      </c>
    </row>
    <row r="138" spans="3:56" x14ac:dyDescent="0.2">
      <c r="C138" s="28">
        <v>73</v>
      </c>
      <c r="E138" s="80">
        <v>4000</v>
      </c>
      <c r="F138" s="80">
        <v>4240</v>
      </c>
      <c r="G138" s="80">
        <v>4570</v>
      </c>
      <c r="H138" s="80">
        <v>5520</v>
      </c>
      <c r="I138" s="80">
        <v>5590</v>
      </c>
      <c r="J138" s="80">
        <v>5650</v>
      </c>
      <c r="K138" s="80">
        <v>5790</v>
      </c>
      <c r="L138" s="80">
        <v>5910</v>
      </c>
      <c r="M138" s="80">
        <v>6040</v>
      </c>
      <c r="N138" s="80">
        <v>6170</v>
      </c>
      <c r="O138" s="80">
        <v>6470</v>
      </c>
      <c r="P138" s="80">
        <v>6700</v>
      </c>
      <c r="Q138" s="80">
        <v>7000</v>
      </c>
      <c r="R138" s="80">
        <v>7260</v>
      </c>
      <c r="S138" s="80">
        <v>7320</v>
      </c>
      <c r="T138" s="80">
        <v>7760</v>
      </c>
      <c r="U138" s="80">
        <v>7950</v>
      </c>
      <c r="V138" s="80">
        <v>8260</v>
      </c>
      <c r="W138" s="80">
        <v>8530</v>
      </c>
      <c r="X138" s="80">
        <v>8550</v>
      </c>
      <c r="Y138" s="80">
        <v>8530</v>
      </c>
      <c r="Z138" s="80">
        <v>8320</v>
      </c>
      <c r="AA138" s="80">
        <v>8300</v>
      </c>
      <c r="AB138" s="80">
        <v>8290</v>
      </c>
      <c r="AC138" s="80">
        <v>8470</v>
      </c>
      <c r="AD138" s="80">
        <v>8640</v>
      </c>
      <c r="AE138" s="80">
        <v>8640</v>
      </c>
      <c r="AF138" s="80">
        <v>8880</v>
      </c>
      <c r="AG138" s="80">
        <v>8860</v>
      </c>
      <c r="AH138" s="80">
        <v>8600</v>
      </c>
      <c r="AI138" s="80">
        <v>8400</v>
      </c>
      <c r="AJ138" s="80">
        <v>8120</v>
      </c>
      <c r="AK138" s="80">
        <v>7960</v>
      </c>
      <c r="AL138" s="80">
        <v>7980</v>
      </c>
      <c r="AM138" s="80">
        <v>7850</v>
      </c>
      <c r="AN138" s="80">
        <v>8080</v>
      </c>
      <c r="AO138" s="80">
        <v>8250</v>
      </c>
      <c r="AP138" s="80">
        <v>8500</v>
      </c>
      <c r="AQ138" s="80">
        <v>8610</v>
      </c>
      <c r="AR138" s="80">
        <v>8970</v>
      </c>
      <c r="AS138" s="80">
        <v>9140</v>
      </c>
      <c r="AT138" s="80">
        <v>9310</v>
      </c>
      <c r="AU138" s="80">
        <v>9730</v>
      </c>
      <c r="AV138" s="80">
        <v>10200</v>
      </c>
      <c r="AW138" s="80">
        <v>10710</v>
      </c>
      <c r="AX138" s="80">
        <v>11350</v>
      </c>
      <c r="AY138" s="80">
        <v>12050</v>
      </c>
      <c r="AZ138" s="80">
        <v>12670</v>
      </c>
      <c r="BA138" s="80">
        <v>12770</v>
      </c>
      <c r="BB138" s="80">
        <v>12920</v>
      </c>
      <c r="BC138" s="80">
        <v>12750</v>
      </c>
      <c r="BD138" s="80">
        <v>12830</v>
      </c>
    </row>
    <row r="139" spans="3:56" x14ac:dyDescent="0.2">
      <c r="C139" s="28">
        <v>74</v>
      </c>
      <c r="E139" s="80">
        <v>3050</v>
      </c>
      <c r="F139" s="80">
        <v>3520</v>
      </c>
      <c r="G139" s="80">
        <v>3740</v>
      </c>
      <c r="H139" s="80">
        <v>4030</v>
      </c>
      <c r="I139" s="80">
        <v>4870</v>
      </c>
      <c r="J139" s="80">
        <v>4930</v>
      </c>
      <c r="K139" s="80">
        <v>4990</v>
      </c>
      <c r="L139" s="80">
        <v>5110</v>
      </c>
      <c r="M139" s="80">
        <v>5220</v>
      </c>
      <c r="N139" s="80">
        <v>5350</v>
      </c>
      <c r="O139" s="80">
        <v>5470</v>
      </c>
      <c r="P139" s="80">
        <v>5730</v>
      </c>
      <c r="Q139" s="80">
        <v>5940</v>
      </c>
      <c r="R139" s="80">
        <v>6210</v>
      </c>
      <c r="S139" s="80">
        <v>6440</v>
      </c>
      <c r="T139" s="80">
        <v>6490</v>
      </c>
      <c r="U139" s="80">
        <v>6890</v>
      </c>
      <c r="V139" s="80">
        <v>7060</v>
      </c>
      <c r="W139" s="80">
        <v>7340</v>
      </c>
      <c r="X139" s="80">
        <v>7580</v>
      </c>
      <c r="Y139" s="80">
        <v>7600</v>
      </c>
      <c r="Z139" s="80">
        <v>7590</v>
      </c>
      <c r="AA139" s="80">
        <v>7400</v>
      </c>
      <c r="AB139" s="80">
        <v>7380</v>
      </c>
      <c r="AC139" s="80">
        <v>7380</v>
      </c>
      <c r="AD139" s="80">
        <v>7540</v>
      </c>
      <c r="AE139" s="80">
        <v>7690</v>
      </c>
      <c r="AF139" s="80">
        <v>7690</v>
      </c>
      <c r="AG139" s="80">
        <v>7900</v>
      </c>
      <c r="AH139" s="80">
        <v>7890</v>
      </c>
      <c r="AI139" s="80">
        <v>7660</v>
      </c>
      <c r="AJ139" s="80">
        <v>7480</v>
      </c>
      <c r="AK139" s="80">
        <v>7240</v>
      </c>
      <c r="AL139" s="80">
        <v>7100</v>
      </c>
      <c r="AM139" s="80">
        <v>7110</v>
      </c>
      <c r="AN139" s="80">
        <v>7000</v>
      </c>
      <c r="AO139" s="80">
        <v>7210</v>
      </c>
      <c r="AP139" s="80">
        <v>7360</v>
      </c>
      <c r="AQ139" s="80">
        <v>7590</v>
      </c>
      <c r="AR139" s="80">
        <v>7690</v>
      </c>
      <c r="AS139" s="80">
        <v>8010</v>
      </c>
      <c r="AT139" s="80">
        <v>8160</v>
      </c>
      <c r="AU139" s="80">
        <v>8320</v>
      </c>
      <c r="AV139" s="80">
        <v>8690</v>
      </c>
      <c r="AW139" s="80">
        <v>9110</v>
      </c>
      <c r="AX139" s="80">
        <v>9570</v>
      </c>
      <c r="AY139" s="80">
        <v>10140</v>
      </c>
      <c r="AZ139" s="80">
        <v>10770</v>
      </c>
      <c r="BA139" s="80">
        <v>11330</v>
      </c>
      <c r="BB139" s="80">
        <v>11420</v>
      </c>
      <c r="BC139" s="80">
        <v>11550</v>
      </c>
      <c r="BD139" s="80">
        <v>11400</v>
      </c>
    </row>
    <row r="140" spans="3:56" x14ac:dyDescent="0.2">
      <c r="C140" s="28">
        <v>75</v>
      </c>
      <c r="E140" s="80">
        <v>2890</v>
      </c>
      <c r="F140" s="80">
        <v>2680</v>
      </c>
      <c r="G140" s="80">
        <v>3100</v>
      </c>
      <c r="H140" s="80">
        <v>3290</v>
      </c>
      <c r="I140" s="80">
        <v>3550</v>
      </c>
      <c r="J140" s="80">
        <v>4300</v>
      </c>
      <c r="K140" s="80">
        <v>4350</v>
      </c>
      <c r="L140" s="80">
        <v>4410</v>
      </c>
      <c r="M140" s="80">
        <v>4520</v>
      </c>
      <c r="N140" s="80">
        <v>4620</v>
      </c>
      <c r="O140" s="80">
        <v>4730</v>
      </c>
      <c r="P140" s="80">
        <v>4840</v>
      </c>
      <c r="Q140" s="80">
        <v>5070</v>
      </c>
      <c r="R140" s="80">
        <v>5260</v>
      </c>
      <c r="S140" s="80">
        <v>5500</v>
      </c>
      <c r="T140" s="80">
        <v>5700</v>
      </c>
      <c r="U140" s="80">
        <v>5750</v>
      </c>
      <c r="V140" s="80">
        <v>6110</v>
      </c>
      <c r="W140" s="80">
        <v>6260</v>
      </c>
      <c r="X140" s="80">
        <v>6510</v>
      </c>
      <c r="Y140" s="80">
        <v>6720</v>
      </c>
      <c r="Z140" s="80">
        <v>6750</v>
      </c>
      <c r="AA140" s="80">
        <v>6740</v>
      </c>
      <c r="AB140" s="80">
        <v>6580</v>
      </c>
      <c r="AC140" s="80">
        <v>6560</v>
      </c>
      <c r="AD140" s="80">
        <v>6550</v>
      </c>
      <c r="AE140" s="80">
        <v>6700</v>
      </c>
      <c r="AF140" s="80">
        <v>6830</v>
      </c>
      <c r="AG140" s="80">
        <v>6840</v>
      </c>
      <c r="AH140" s="80">
        <v>7030</v>
      </c>
      <c r="AI140" s="80">
        <v>7020</v>
      </c>
      <c r="AJ140" s="80">
        <v>6820</v>
      </c>
      <c r="AK140" s="80">
        <v>6660</v>
      </c>
      <c r="AL140" s="80">
        <v>6450</v>
      </c>
      <c r="AM140" s="80">
        <v>6320</v>
      </c>
      <c r="AN140" s="80">
        <v>6340</v>
      </c>
      <c r="AO140" s="80">
        <v>6240</v>
      </c>
      <c r="AP140" s="80">
        <v>6420</v>
      </c>
      <c r="AQ140" s="80">
        <v>6560</v>
      </c>
      <c r="AR140" s="80">
        <v>6760</v>
      </c>
      <c r="AS140" s="80">
        <v>6850</v>
      </c>
      <c r="AT140" s="80">
        <v>7140</v>
      </c>
      <c r="AU140" s="80">
        <v>7280</v>
      </c>
      <c r="AV140" s="80">
        <v>7420</v>
      </c>
      <c r="AW140" s="80">
        <v>7750</v>
      </c>
      <c r="AX140" s="80">
        <v>8130</v>
      </c>
      <c r="AY140" s="80">
        <v>8540</v>
      </c>
      <c r="AZ140" s="80">
        <v>9050</v>
      </c>
      <c r="BA140" s="80">
        <v>9610</v>
      </c>
      <c r="BB140" s="80">
        <v>10110</v>
      </c>
      <c r="BC140" s="80">
        <v>10200</v>
      </c>
      <c r="BD140" s="80">
        <v>10320</v>
      </c>
    </row>
    <row r="141" spans="3:56" x14ac:dyDescent="0.2">
      <c r="C141" s="28">
        <v>76</v>
      </c>
      <c r="E141" s="80">
        <v>2440</v>
      </c>
      <c r="F141" s="80">
        <v>2560</v>
      </c>
      <c r="G141" s="80">
        <v>2380</v>
      </c>
      <c r="H141" s="80">
        <v>2750</v>
      </c>
      <c r="I141" s="80">
        <v>2920</v>
      </c>
      <c r="J141" s="80">
        <v>3150</v>
      </c>
      <c r="K141" s="80">
        <v>3810</v>
      </c>
      <c r="L141" s="80">
        <v>3860</v>
      </c>
      <c r="M141" s="80">
        <v>3920</v>
      </c>
      <c r="N141" s="80">
        <v>4010</v>
      </c>
      <c r="O141" s="80">
        <v>4110</v>
      </c>
      <c r="P141" s="80">
        <v>4210</v>
      </c>
      <c r="Q141" s="80">
        <v>4300</v>
      </c>
      <c r="R141" s="80">
        <v>4510</v>
      </c>
      <c r="S141" s="80">
        <v>4680</v>
      </c>
      <c r="T141" s="80">
        <v>4900</v>
      </c>
      <c r="U141" s="80">
        <v>5080</v>
      </c>
      <c r="V141" s="80">
        <v>5130</v>
      </c>
      <c r="W141" s="80">
        <v>5450</v>
      </c>
      <c r="X141" s="80">
        <v>5590</v>
      </c>
      <c r="Y141" s="80">
        <v>5810</v>
      </c>
      <c r="Z141" s="80">
        <v>6010</v>
      </c>
      <c r="AA141" s="80">
        <v>6030</v>
      </c>
      <c r="AB141" s="80">
        <v>6020</v>
      </c>
      <c r="AC141" s="80">
        <v>5880</v>
      </c>
      <c r="AD141" s="80">
        <v>5860</v>
      </c>
      <c r="AE141" s="80">
        <v>5860</v>
      </c>
      <c r="AF141" s="80">
        <v>6000</v>
      </c>
      <c r="AG141" s="80">
        <v>6120</v>
      </c>
      <c r="AH141" s="80">
        <v>6120</v>
      </c>
      <c r="AI141" s="80">
        <v>6300</v>
      </c>
      <c r="AJ141" s="80">
        <v>6280</v>
      </c>
      <c r="AK141" s="80">
        <v>6110</v>
      </c>
      <c r="AL141" s="80">
        <v>5970</v>
      </c>
      <c r="AM141" s="80">
        <v>5780</v>
      </c>
      <c r="AN141" s="80">
        <v>5670</v>
      </c>
      <c r="AO141" s="80">
        <v>5680</v>
      </c>
      <c r="AP141" s="80">
        <v>5590</v>
      </c>
      <c r="AQ141" s="80">
        <v>5760</v>
      </c>
      <c r="AR141" s="80">
        <v>5890</v>
      </c>
      <c r="AS141" s="80">
        <v>6070</v>
      </c>
      <c r="AT141" s="80">
        <v>6150</v>
      </c>
      <c r="AU141" s="80">
        <v>6410</v>
      </c>
      <c r="AV141" s="80">
        <v>6540</v>
      </c>
      <c r="AW141" s="80">
        <v>6660</v>
      </c>
      <c r="AX141" s="80">
        <v>6970</v>
      </c>
      <c r="AY141" s="80">
        <v>7310</v>
      </c>
      <c r="AZ141" s="80">
        <v>7670</v>
      </c>
      <c r="BA141" s="80">
        <v>8140</v>
      </c>
      <c r="BB141" s="80">
        <v>8650</v>
      </c>
      <c r="BC141" s="80">
        <v>9100</v>
      </c>
      <c r="BD141" s="80">
        <v>9170</v>
      </c>
    </row>
    <row r="142" spans="3:56" x14ac:dyDescent="0.2">
      <c r="C142" s="28">
        <v>77</v>
      </c>
      <c r="E142" s="80">
        <v>1950</v>
      </c>
      <c r="F142" s="80">
        <v>2150</v>
      </c>
      <c r="G142" s="80">
        <v>2260</v>
      </c>
      <c r="H142" s="80">
        <v>2100</v>
      </c>
      <c r="I142" s="80">
        <v>2430</v>
      </c>
      <c r="J142" s="80">
        <v>2590</v>
      </c>
      <c r="K142" s="80">
        <v>2790</v>
      </c>
      <c r="L142" s="80">
        <v>3380</v>
      </c>
      <c r="M142" s="80">
        <v>3430</v>
      </c>
      <c r="N142" s="80">
        <v>3480</v>
      </c>
      <c r="O142" s="80">
        <v>3570</v>
      </c>
      <c r="P142" s="80">
        <v>3660</v>
      </c>
      <c r="Q142" s="80">
        <v>3750</v>
      </c>
      <c r="R142" s="80">
        <v>3840</v>
      </c>
      <c r="S142" s="80">
        <v>4030</v>
      </c>
      <c r="T142" s="80">
        <v>4180</v>
      </c>
      <c r="U142" s="80">
        <v>4380</v>
      </c>
      <c r="V142" s="80">
        <v>4540</v>
      </c>
      <c r="W142" s="80">
        <v>4590</v>
      </c>
      <c r="X142" s="80">
        <v>4870</v>
      </c>
      <c r="Y142" s="80">
        <v>5000</v>
      </c>
      <c r="Z142" s="80">
        <v>5200</v>
      </c>
      <c r="AA142" s="80">
        <v>5380</v>
      </c>
      <c r="AB142" s="80">
        <v>5400</v>
      </c>
      <c r="AC142" s="80">
        <v>5390</v>
      </c>
      <c r="AD142" s="80">
        <v>5270</v>
      </c>
      <c r="AE142" s="80">
        <v>5260</v>
      </c>
      <c r="AF142" s="80">
        <v>5260</v>
      </c>
      <c r="AG142" s="80">
        <v>5380</v>
      </c>
      <c r="AH142" s="80">
        <v>5490</v>
      </c>
      <c r="AI142" s="80">
        <v>5490</v>
      </c>
      <c r="AJ142" s="80">
        <v>5650</v>
      </c>
      <c r="AK142" s="80">
        <v>5640</v>
      </c>
      <c r="AL142" s="80">
        <v>5490</v>
      </c>
      <c r="AM142" s="80">
        <v>5360</v>
      </c>
      <c r="AN142" s="80">
        <v>5190</v>
      </c>
      <c r="AO142" s="80">
        <v>5100</v>
      </c>
      <c r="AP142" s="80">
        <v>5110</v>
      </c>
      <c r="AQ142" s="80">
        <v>5030</v>
      </c>
      <c r="AR142" s="80">
        <v>5190</v>
      </c>
      <c r="AS142" s="80">
        <v>5300</v>
      </c>
      <c r="AT142" s="80">
        <v>5460</v>
      </c>
      <c r="AU142" s="80">
        <v>5540</v>
      </c>
      <c r="AV142" s="80">
        <v>5770</v>
      </c>
      <c r="AW142" s="80">
        <v>5890</v>
      </c>
      <c r="AX142" s="80">
        <v>6010</v>
      </c>
      <c r="AY142" s="80">
        <v>6280</v>
      </c>
      <c r="AZ142" s="80">
        <v>6590</v>
      </c>
      <c r="BA142" s="80">
        <v>6920</v>
      </c>
      <c r="BB142" s="80">
        <v>7340</v>
      </c>
      <c r="BC142" s="80">
        <v>7800</v>
      </c>
      <c r="BD142" s="80">
        <v>8210</v>
      </c>
    </row>
    <row r="143" spans="3:56" x14ac:dyDescent="0.2">
      <c r="C143" s="28">
        <v>78</v>
      </c>
      <c r="E143" s="80">
        <v>1490</v>
      </c>
      <c r="F143" s="80">
        <v>1730</v>
      </c>
      <c r="G143" s="80">
        <v>1900</v>
      </c>
      <c r="H143" s="80">
        <v>2000</v>
      </c>
      <c r="I143" s="80">
        <v>1860</v>
      </c>
      <c r="J143" s="80">
        <v>2150</v>
      </c>
      <c r="K143" s="80">
        <v>2290</v>
      </c>
      <c r="L143" s="80">
        <v>2480</v>
      </c>
      <c r="M143" s="80">
        <v>3000</v>
      </c>
      <c r="N143" s="80">
        <v>3050</v>
      </c>
      <c r="O143" s="80">
        <v>3090</v>
      </c>
      <c r="P143" s="80">
        <v>3170</v>
      </c>
      <c r="Q143" s="80">
        <v>3250</v>
      </c>
      <c r="R143" s="80">
        <v>3330</v>
      </c>
      <c r="S143" s="80">
        <v>3410</v>
      </c>
      <c r="T143" s="80">
        <v>3580</v>
      </c>
      <c r="U143" s="80">
        <v>3720</v>
      </c>
      <c r="V143" s="80">
        <v>3900</v>
      </c>
      <c r="W143" s="80">
        <v>4050</v>
      </c>
      <c r="X143" s="80">
        <v>4090</v>
      </c>
      <c r="Y143" s="80">
        <v>4350</v>
      </c>
      <c r="Z143" s="80">
        <v>4460</v>
      </c>
      <c r="AA143" s="80">
        <v>4640</v>
      </c>
      <c r="AB143" s="80">
        <v>4800</v>
      </c>
      <c r="AC143" s="80">
        <v>4820</v>
      </c>
      <c r="AD143" s="80">
        <v>4820</v>
      </c>
      <c r="AE143" s="80">
        <v>4710</v>
      </c>
      <c r="AF143" s="80">
        <v>4700</v>
      </c>
      <c r="AG143" s="80">
        <v>4700</v>
      </c>
      <c r="AH143" s="80">
        <v>4810</v>
      </c>
      <c r="AI143" s="80">
        <v>4910</v>
      </c>
      <c r="AJ143" s="80">
        <v>4910</v>
      </c>
      <c r="AK143" s="80">
        <v>5060</v>
      </c>
      <c r="AL143" s="80">
        <v>5050</v>
      </c>
      <c r="AM143" s="80">
        <v>4910</v>
      </c>
      <c r="AN143" s="80">
        <v>4800</v>
      </c>
      <c r="AO143" s="80">
        <v>4650</v>
      </c>
      <c r="AP143" s="80">
        <v>4570</v>
      </c>
      <c r="AQ143" s="80">
        <v>4580</v>
      </c>
      <c r="AR143" s="80">
        <v>4510</v>
      </c>
      <c r="AS143" s="80">
        <v>4650</v>
      </c>
      <c r="AT143" s="80">
        <v>4760</v>
      </c>
      <c r="AU143" s="80">
        <v>4900</v>
      </c>
      <c r="AV143" s="80">
        <v>4970</v>
      </c>
      <c r="AW143" s="80">
        <v>5180</v>
      </c>
      <c r="AX143" s="80">
        <v>5290</v>
      </c>
      <c r="AY143" s="80">
        <v>5400</v>
      </c>
      <c r="AZ143" s="80">
        <v>5640</v>
      </c>
      <c r="BA143" s="80">
        <v>5920</v>
      </c>
      <c r="BB143" s="80">
        <v>6220</v>
      </c>
      <c r="BC143" s="80">
        <v>6600</v>
      </c>
      <c r="BD143" s="80">
        <v>7020</v>
      </c>
    </row>
    <row r="144" spans="3:56" x14ac:dyDescent="0.2">
      <c r="C144" s="28">
        <v>79</v>
      </c>
      <c r="E144" s="80">
        <v>1230</v>
      </c>
      <c r="F144" s="80">
        <v>1310</v>
      </c>
      <c r="G144" s="80">
        <v>1520</v>
      </c>
      <c r="H144" s="80">
        <v>1670</v>
      </c>
      <c r="I144" s="80">
        <v>1760</v>
      </c>
      <c r="J144" s="80">
        <v>1640</v>
      </c>
      <c r="K144" s="80">
        <v>1890</v>
      </c>
      <c r="L144" s="80">
        <v>2010</v>
      </c>
      <c r="M144" s="80">
        <v>2170</v>
      </c>
      <c r="N144" s="80">
        <v>2640</v>
      </c>
      <c r="O144" s="80">
        <v>2680</v>
      </c>
      <c r="P144" s="80">
        <v>2720</v>
      </c>
      <c r="Q144" s="80">
        <v>2790</v>
      </c>
      <c r="R144" s="80">
        <v>2860</v>
      </c>
      <c r="S144" s="80">
        <v>2930</v>
      </c>
      <c r="T144" s="80">
        <v>3000</v>
      </c>
      <c r="U144" s="80">
        <v>3150</v>
      </c>
      <c r="V144" s="80">
        <v>3270</v>
      </c>
      <c r="W144" s="80">
        <v>3430</v>
      </c>
      <c r="X144" s="80">
        <v>3560</v>
      </c>
      <c r="Y144" s="80">
        <v>3600</v>
      </c>
      <c r="Z144" s="80">
        <v>3830</v>
      </c>
      <c r="AA144" s="80">
        <v>3930</v>
      </c>
      <c r="AB144" s="80">
        <v>4090</v>
      </c>
      <c r="AC144" s="80">
        <v>4230</v>
      </c>
      <c r="AD144" s="80">
        <v>4250</v>
      </c>
      <c r="AE144" s="80">
        <v>4250</v>
      </c>
      <c r="AF144" s="80">
        <v>4150</v>
      </c>
      <c r="AG144" s="80">
        <v>4150</v>
      </c>
      <c r="AH144" s="80">
        <v>4150</v>
      </c>
      <c r="AI144" s="80">
        <v>4250</v>
      </c>
      <c r="AJ144" s="80">
        <v>4340</v>
      </c>
      <c r="AK144" s="80">
        <v>4340</v>
      </c>
      <c r="AL144" s="80">
        <v>4470</v>
      </c>
      <c r="AM144" s="80">
        <v>4470</v>
      </c>
      <c r="AN144" s="80">
        <v>4350</v>
      </c>
      <c r="AO144" s="80">
        <v>4250</v>
      </c>
      <c r="AP144" s="80">
        <v>4120</v>
      </c>
      <c r="AQ144" s="80">
        <v>4040</v>
      </c>
      <c r="AR144" s="80">
        <v>4060</v>
      </c>
      <c r="AS144" s="80">
        <v>4000</v>
      </c>
      <c r="AT144" s="80">
        <v>4120</v>
      </c>
      <c r="AU144" s="80">
        <v>4220</v>
      </c>
      <c r="AV144" s="80">
        <v>4350</v>
      </c>
      <c r="AW144" s="80">
        <v>4410</v>
      </c>
      <c r="AX144" s="80">
        <v>4600</v>
      </c>
      <c r="AY144" s="80">
        <v>4700</v>
      </c>
      <c r="AZ144" s="80">
        <v>4790</v>
      </c>
      <c r="BA144" s="80">
        <v>5010</v>
      </c>
      <c r="BB144" s="80">
        <v>5260</v>
      </c>
      <c r="BC144" s="80">
        <v>5530</v>
      </c>
      <c r="BD144" s="80">
        <v>5870</v>
      </c>
    </row>
    <row r="145" spans="1:56" x14ac:dyDescent="0.2">
      <c r="C145" s="28" t="s">
        <v>1165</v>
      </c>
      <c r="E145" s="80">
        <v>4800</v>
      </c>
      <c r="F145" s="80">
        <v>5100</v>
      </c>
      <c r="G145" s="80">
        <v>5500</v>
      </c>
      <c r="H145" s="80">
        <v>6000</v>
      </c>
      <c r="I145" s="80">
        <v>6500</v>
      </c>
      <c r="J145" s="80">
        <v>7100</v>
      </c>
      <c r="K145" s="80">
        <v>7400</v>
      </c>
      <c r="L145" s="80">
        <v>7900</v>
      </c>
      <c r="M145" s="80">
        <v>8500</v>
      </c>
      <c r="N145" s="80">
        <v>9000</v>
      </c>
      <c r="O145" s="80">
        <v>10000</v>
      </c>
      <c r="P145" s="80">
        <v>10800</v>
      </c>
      <c r="Q145" s="80">
        <v>11500</v>
      </c>
      <c r="R145" s="80">
        <v>12200</v>
      </c>
      <c r="S145" s="80">
        <v>12800</v>
      </c>
      <c r="T145" s="80">
        <v>13400</v>
      </c>
      <c r="U145" s="80">
        <v>14000</v>
      </c>
      <c r="V145" s="80">
        <v>14600</v>
      </c>
      <c r="W145" s="80">
        <v>15300</v>
      </c>
      <c r="X145" s="80">
        <v>15900</v>
      </c>
      <c r="Y145" s="80">
        <v>16600</v>
      </c>
      <c r="Z145" s="80">
        <v>17300</v>
      </c>
      <c r="AA145" s="80">
        <v>18000</v>
      </c>
      <c r="AB145" s="80">
        <v>18700</v>
      </c>
      <c r="AC145" s="80">
        <v>19500</v>
      </c>
      <c r="AD145" s="80">
        <v>20300</v>
      </c>
      <c r="AE145" s="80">
        <v>21000</v>
      </c>
      <c r="AF145" s="80">
        <v>21500</v>
      </c>
      <c r="AG145" s="80">
        <v>22000</v>
      </c>
      <c r="AH145" s="80">
        <v>22400</v>
      </c>
      <c r="AI145" s="80">
        <v>22700</v>
      </c>
      <c r="AJ145" s="80">
        <v>23100</v>
      </c>
      <c r="AK145" s="80">
        <v>23500</v>
      </c>
      <c r="AL145" s="80">
        <v>23800</v>
      </c>
      <c r="AM145" s="80">
        <v>24300</v>
      </c>
      <c r="AN145" s="80">
        <v>24600</v>
      </c>
      <c r="AO145" s="80">
        <v>24800</v>
      </c>
      <c r="AP145" s="80">
        <v>24900</v>
      </c>
      <c r="AQ145" s="80">
        <v>24900</v>
      </c>
      <c r="AR145" s="80">
        <v>24900</v>
      </c>
      <c r="AS145" s="80">
        <v>24800</v>
      </c>
      <c r="AT145" s="80">
        <v>24800</v>
      </c>
      <c r="AU145" s="80">
        <v>24800</v>
      </c>
      <c r="AV145" s="80">
        <v>25000</v>
      </c>
      <c r="AW145" s="80">
        <v>25200</v>
      </c>
      <c r="AX145" s="80">
        <v>25500</v>
      </c>
      <c r="AY145" s="80">
        <v>25900</v>
      </c>
      <c r="AZ145" s="80">
        <v>26300</v>
      </c>
      <c r="BA145" s="80">
        <v>26800</v>
      </c>
      <c r="BB145" s="80">
        <v>27400</v>
      </c>
      <c r="BC145" s="80">
        <v>28200</v>
      </c>
      <c r="BD145" s="80">
        <v>29100</v>
      </c>
    </row>
    <row r="146" spans="1:56" x14ac:dyDescent="0.2">
      <c r="C146" s="72" t="s">
        <v>1168</v>
      </c>
      <c r="E146" s="81">
        <f t="shared" ref="E146:BD146" si="3">SUM(E$80:E$145)</f>
        <v>1389280</v>
      </c>
      <c r="F146" s="81">
        <f t="shared" si="3"/>
        <v>1420870</v>
      </c>
      <c r="G146" s="81">
        <f t="shared" si="3"/>
        <v>1448540</v>
      </c>
      <c r="H146" s="81">
        <f t="shared" si="3"/>
        <v>1471870</v>
      </c>
      <c r="I146" s="81">
        <f t="shared" si="3"/>
        <v>1490870</v>
      </c>
      <c r="J146" s="81">
        <f t="shared" si="3"/>
        <v>1505950</v>
      </c>
      <c r="K146" s="81">
        <f t="shared" si="3"/>
        <v>1520770</v>
      </c>
      <c r="L146" s="81">
        <f t="shared" si="3"/>
        <v>1535420</v>
      </c>
      <c r="M146" s="81">
        <f t="shared" si="3"/>
        <v>1549900</v>
      </c>
      <c r="N146" s="81">
        <f t="shared" si="3"/>
        <v>1563870</v>
      </c>
      <c r="O146" s="81">
        <f t="shared" si="3"/>
        <v>1577470</v>
      </c>
      <c r="P146" s="81">
        <f t="shared" si="3"/>
        <v>1590560</v>
      </c>
      <c r="Q146" s="81">
        <f t="shared" si="3"/>
        <v>1603050</v>
      </c>
      <c r="R146" s="81">
        <f t="shared" si="3"/>
        <v>1615120</v>
      </c>
      <c r="S146" s="81">
        <f t="shared" si="3"/>
        <v>1626660</v>
      </c>
      <c r="T146" s="81">
        <f t="shared" si="3"/>
        <v>1637850</v>
      </c>
      <c r="U146" s="81">
        <f t="shared" si="3"/>
        <v>1648910</v>
      </c>
      <c r="V146" s="81">
        <f t="shared" si="3"/>
        <v>1659840</v>
      </c>
      <c r="W146" s="81">
        <f t="shared" si="3"/>
        <v>1670820</v>
      </c>
      <c r="X146" s="81">
        <f t="shared" si="3"/>
        <v>1681680</v>
      </c>
      <c r="Y146" s="81">
        <f t="shared" si="3"/>
        <v>1692680</v>
      </c>
      <c r="Z146" s="81">
        <f t="shared" si="3"/>
        <v>1703920</v>
      </c>
      <c r="AA146" s="81">
        <f t="shared" si="3"/>
        <v>1715050</v>
      </c>
      <c r="AB146" s="81">
        <f t="shared" si="3"/>
        <v>1726360</v>
      </c>
      <c r="AC146" s="81">
        <f t="shared" si="3"/>
        <v>1737830</v>
      </c>
      <c r="AD146" s="81">
        <f t="shared" si="3"/>
        <v>1749310</v>
      </c>
      <c r="AE146" s="81">
        <f t="shared" si="3"/>
        <v>1760850</v>
      </c>
      <c r="AF146" s="81">
        <f t="shared" si="3"/>
        <v>1772090</v>
      </c>
      <c r="AG146" s="81">
        <f t="shared" si="3"/>
        <v>1783280</v>
      </c>
      <c r="AH146" s="81">
        <f t="shared" si="3"/>
        <v>1794270</v>
      </c>
      <c r="AI146" s="81">
        <f t="shared" si="3"/>
        <v>1804880</v>
      </c>
      <c r="AJ146" s="81">
        <f t="shared" si="3"/>
        <v>1815000</v>
      </c>
      <c r="AK146" s="81">
        <f t="shared" si="3"/>
        <v>1824600</v>
      </c>
      <c r="AL146" s="81">
        <f t="shared" si="3"/>
        <v>1833660</v>
      </c>
      <c r="AM146" s="81">
        <f t="shared" si="3"/>
        <v>1842140</v>
      </c>
      <c r="AN146" s="81">
        <f t="shared" si="3"/>
        <v>1849740</v>
      </c>
      <c r="AO146" s="81">
        <f t="shared" si="3"/>
        <v>1856620</v>
      </c>
      <c r="AP146" s="81">
        <f t="shared" si="3"/>
        <v>1862710</v>
      </c>
      <c r="AQ146" s="81">
        <f t="shared" si="3"/>
        <v>1868140</v>
      </c>
      <c r="AR146" s="81">
        <f t="shared" si="3"/>
        <v>1872800</v>
      </c>
      <c r="AS146" s="81">
        <f t="shared" si="3"/>
        <v>1876650</v>
      </c>
      <c r="AT146" s="81">
        <f t="shared" si="3"/>
        <v>1880060</v>
      </c>
      <c r="AU146" s="81">
        <f t="shared" si="3"/>
        <v>1882850</v>
      </c>
      <c r="AV146" s="81">
        <f t="shared" si="3"/>
        <v>1885330</v>
      </c>
      <c r="AW146" s="81">
        <f t="shared" si="3"/>
        <v>1887420</v>
      </c>
      <c r="AX146" s="81">
        <f t="shared" si="3"/>
        <v>1889510</v>
      </c>
      <c r="AY146" s="81">
        <f t="shared" si="3"/>
        <v>1891420</v>
      </c>
      <c r="AZ146" s="81">
        <f t="shared" si="3"/>
        <v>1893370</v>
      </c>
      <c r="BA146" s="81">
        <f t="shared" si="3"/>
        <v>1895450</v>
      </c>
      <c r="BB146" s="81">
        <f t="shared" si="3"/>
        <v>1897670</v>
      </c>
      <c r="BC146" s="81">
        <f t="shared" si="3"/>
        <v>1900100</v>
      </c>
      <c r="BD146" s="81">
        <f t="shared" si="3"/>
        <v>1902680</v>
      </c>
    </row>
    <row r="148" spans="1:56" x14ac:dyDescent="0.2">
      <c r="A148" s="72" t="s">
        <v>1169</v>
      </c>
    </row>
    <row r="149" spans="1:56" x14ac:dyDescent="0.2">
      <c r="A149" s="72" t="s">
        <v>1170</v>
      </c>
      <c r="C149" s="72" t="s">
        <v>1164</v>
      </c>
    </row>
    <row r="150" spans="1:56" x14ac:dyDescent="0.2">
      <c r="C150" s="28">
        <v>15</v>
      </c>
      <c r="E150" s="82">
        <f>E$10/Population!M$25</f>
        <v>0.20006887052341599</v>
      </c>
      <c r="F150" s="82">
        <f>F$10/Population!N$25</f>
        <v>0.19674965421853388</v>
      </c>
      <c r="G150" s="82">
        <f>G$10/Population!O$25</f>
        <v>0.19363574813811782</v>
      </c>
      <c r="H150" s="82">
        <f>H$10/Population!P$25</f>
        <v>0.19097693351424694</v>
      </c>
      <c r="I150" s="82">
        <f>I$10/Population!Q$25</f>
        <v>0.1881417687976151</v>
      </c>
      <c r="J150" s="82">
        <f>J$10/Population!R$25</f>
        <v>0.18583227445997458</v>
      </c>
      <c r="K150" s="82">
        <f>K$10/Population!S$25</f>
        <v>0.18329253365973072</v>
      </c>
      <c r="L150" s="82">
        <f>L$10/Population!T$25</f>
        <v>0.18131188118811881</v>
      </c>
      <c r="M150" s="82">
        <f>M$10/Population!U$25</f>
        <v>0.17921686746987953</v>
      </c>
      <c r="N150" s="82">
        <f>N$10/Population!V$25</f>
        <v>0.17720745493431103</v>
      </c>
      <c r="O150" s="82">
        <f>O$10/Population!W$25</f>
        <v>0.17550387596899225</v>
      </c>
      <c r="P150" s="82">
        <f>P$10/Population!X$25</f>
        <v>0.1737354696826893</v>
      </c>
      <c r="Q150" s="82">
        <f>Q$10/Population!Y$25</f>
        <v>0.17222402071867918</v>
      </c>
      <c r="R150" s="82">
        <f>R$10/Population!Z$25</f>
        <v>0.17066839714471121</v>
      </c>
      <c r="S150" s="82">
        <f>S$10/Population!AA$25</f>
        <v>0.16942551119766311</v>
      </c>
      <c r="T150" s="82">
        <f>T$10/Population!AB$25</f>
        <v>0.16821234409977615</v>
      </c>
      <c r="U150" s="82">
        <f>U$10/Population!AC$25</f>
        <v>0.16708542713567839</v>
      </c>
      <c r="V150" s="82">
        <f>V$10/Population!AD$25</f>
        <v>0.16599690880989182</v>
      </c>
      <c r="W150" s="82">
        <f>W$10/Population!AE$25</f>
        <v>0.16534472239170225</v>
      </c>
      <c r="X150" s="82">
        <f>X$10/Population!AF$25</f>
        <v>0.16420162994265017</v>
      </c>
      <c r="Y150" s="82">
        <f>Y$10/Population!AG$25</f>
        <v>0.16366906474820145</v>
      </c>
      <c r="Z150" s="82">
        <f>Z$10/Population!AH$25</f>
        <v>0.16268656716417909</v>
      </c>
      <c r="AA150" s="82">
        <f>AA$10/Population!AI$25</f>
        <v>0.16209773539928488</v>
      </c>
      <c r="AB150" s="82">
        <f>AB$10/Population!AJ$25</f>
        <v>0.16175156389633602</v>
      </c>
      <c r="AC150" s="82">
        <f>AC$10/Population!AK$25</f>
        <v>0.16114592658907789</v>
      </c>
      <c r="AD150" s="82">
        <f>AD$10/Population!AL$25</f>
        <v>0.16052710392333033</v>
      </c>
      <c r="AE150" s="82">
        <f>AE$10/Population!AM$25</f>
        <v>0.16034897713598076</v>
      </c>
      <c r="AF150" s="82">
        <f>AF$10/Population!AN$25</f>
        <v>0.15980629539951574</v>
      </c>
      <c r="AG150" s="82">
        <f>AG$10/Population!AO$25</f>
        <v>0.15965874466788543</v>
      </c>
      <c r="AH150" s="82">
        <f>AH$10/Population!AP$25</f>
        <v>0.15925130408100643</v>
      </c>
      <c r="AI150" s="82">
        <f>AI$10/Population!AQ$25</f>
        <v>0.15914709517923362</v>
      </c>
      <c r="AJ150" s="82">
        <f>AJ$10/Population!AR$25</f>
        <v>0.15863141524105753</v>
      </c>
      <c r="AK150" s="82">
        <f>AK$10/Population!AS$25</f>
        <v>0.15858617453862997</v>
      </c>
      <c r="AL150" s="82">
        <f>AL$10/Population!AT$25</f>
        <v>0.15834118755890669</v>
      </c>
      <c r="AM150" s="82">
        <f>AM$10/Population!AU$25</f>
        <v>0.15816005040957781</v>
      </c>
      <c r="AN150" s="82">
        <f>AN$10/Population!AV$25</f>
        <v>0.1580441640378549</v>
      </c>
      <c r="AO150" s="82">
        <f>AO$10/Population!AW$25</f>
        <v>0.1580441640378549</v>
      </c>
      <c r="AP150" s="82">
        <f>AP$10/Population!AX$25</f>
        <v>0.15811023622047243</v>
      </c>
      <c r="AQ150" s="82">
        <f>AQ$10/Population!AY$25</f>
        <v>0.15807668133249528</v>
      </c>
      <c r="AR150" s="82">
        <f>AR$10/Population!AZ$25</f>
        <v>0.15794421811344406</v>
      </c>
      <c r="AS150" s="82">
        <f>AS$10/Population!BA$25</f>
        <v>0.15776319900031241</v>
      </c>
      <c r="AT150" s="82">
        <f>AT$10/Population!BB$25</f>
        <v>0.15794392523364487</v>
      </c>
      <c r="AU150" s="82">
        <f>AU$10/Population!BC$25</f>
        <v>0.15776397515527951</v>
      </c>
      <c r="AV150" s="82">
        <f>AV$10/Population!BD$25</f>
        <v>0.15794363580055745</v>
      </c>
      <c r="AW150" s="82">
        <f>AW$10/Population!BE$25</f>
        <v>0.15781346510191477</v>
      </c>
      <c r="AX150" s="82">
        <f>AX$10/Population!BF$25</f>
        <v>0.15773259396179914</v>
      </c>
      <c r="AY150" s="82">
        <f>AY$10/Population!BG$25</f>
        <v>0.15765212046711741</v>
      </c>
      <c r="AZ150" s="82">
        <f>AZ$10/Population!BH$25</f>
        <v>0.15792701625268324</v>
      </c>
      <c r="BA150" s="82">
        <f>BA$10/Population!BI$25</f>
        <v>0.15784643621902722</v>
      </c>
      <c r="BB150" s="82">
        <f>BB$10/Population!BJ$25</f>
        <v>0.15776624961855357</v>
      </c>
      <c r="BC150" s="82">
        <f>BC$10/Population!BK$25</f>
        <v>0.15773447015834349</v>
      </c>
      <c r="BD150" s="82">
        <f>BD$10/Population!BL$25</f>
        <v>0.15770282588878759</v>
      </c>
    </row>
    <row r="151" spans="1:56" x14ac:dyDescent="0.2">
      <c r="C151" s="28">
        <v>16</v>
      </c>
      <c r="E151" s="82">
        <f>E$11/Population!M$26</f>
        <v>0.36030134294136912</v>
      </c>
      <c r="F151" s="82">
        <f>F$11/Population!N$26</f>
        <v>0.35913102511880518</v>
      </c>
      <c r="G151" s="82">
        <f>G$11/Population!O$26</f>
        <v>0.35823950870010235</v>
      </c>
      <c r="H151" s="82">
        <f>H$11/Population!P$26</f>
        <v>0.35719063545150503</v>
      </c>
      <c r="I151" s="82">
        <f>I$11/Population!Q$26</f>
        <v>0.35637583892617447</v>
      </c>
      <c r="J151" s="82">
        <f>J$11/Population!R$26</f>
        <v>0.35531496062992124</v>
      </c>
      <c r="K151" s="82">
        <f>K$11/Population!S$26</f>
        <v>0.35473717343405731</v>
      </c>
      <c r="L151" s="82">
        <f>L$11/Population!T$26</f>
        <v>0.35395814376706097</v>
      </c>
      <c r="M151" s="82">
        <f>M$11/Population!U$26</f>
        <v>0.35326586936522542</v>
      </c>
      <c r="N151" s="82">
        <f>N$11/Population!V$26</f>
        <v>0.35264257987458941</v>
      </c>
      <c r="O151" s="82">
        <f>O$11/Population!W$26</f>
        <v>0.35190793458509995</v>
      </c>
      <c r="P151" s="82">
        <f>P$11/Population!X$26</f>
        <v>0.35156730178242163</v>
      </c>
      <c r="Q151" s="82">
        <f>Q$11/Population!Y$26</f>
        <v>0.35118306351183065</v>
      </c>
      <c r="R151" s="82">
        <f>R$11/Population!Z$26</f>
        <v>0.35043283103558831</v>
      </c>
      <c r="S151" s="82">
        <f>S$11/Population!AA$26</f>
        <v>0.35004821600771457</v>
      </c>
      <c r="T151" s="82">
        <f>T$11/Population!AB$26</f>
        <v>0.34983922829581993</v>
      </c>
      <c r="U151" s="82">
        <f>U$11/Population!AC$26</f>
        <v>0.34949302915082381</v>
      </c>
      <c r="V151" s="82">
        <f>V$11/Population!AD$26</f>
        <v>0.34920634920634919</v>
      </c>
      <c r="W151" s="82">
        <f>W$11/Population!AE$26</f>
        <v>0.34865196078431371</v>
      </c>
      <c r="X151" s="82">
        <f>X$11/Population!AF$26</f>
        <v>0.34854897218863362</v>
      </c>
      <c r="Y151" s="82">
        <f>Y$11/Population!AG$26</f>
        <v>0.348294434470377</v>
      </c>
      <c r="Z151" s="82">
        <f>Z$11/Population!AH$26</f>
        <v>0.34799405646359582</v>
      </c>
      <c r="AA151" s="82">
        <f>AA$11/Population!AI$26</f>
        <v>0.34773601657295056</v>
      </c>
      <c r="AB151" s="82">
        <f>AB$11/Population!AJ$26</f>
        <v>0.34760779681039577</v>
      </c>
      <c r="AC151" s="82">
        <f>AC$11/Population!AK$26</f>
        <v>0.34731246308328412</v>
      </c>
      <c r="AD151" s="82">
        <f>AD$11/Population!AL$26</f>
        <v>0.34733727810650888</v>
      </c>
      <c r="AE151" s="82">
        <f>AE$11/Population!AM$26</f>
        <v>0.34698723656871477</v>
      </c>
      <c r="AF151" s="82">
        <f>AF$11/Population!AN$26</f>
        <v>0.3468535639725619</v>
      </c>
      <c r="AG151" s="82">
        <f>AG$11/Population!AO$26</f>
        <v>0.34673065386922614</v>
      </c>
      <c r="AH151" s="82">
        <f>AH$11/Population!AP$26</f>
        <v>0.34661835748792269</v>
      </c>
      <c r="AI151" s="82">
        <f>AI$11/Population!AQ$26</f>
        <v>0.34660991182730311</v>
      </c>
      <c r="AJ151" s="82">
        <f>AJ$11/Population!AR$26</f>
        <v>0.3466013472137171</v>
      </c>
      <c r="AK151" s="82">
        <f>AK$11/Population!AS$26</f>
        <v>0.34648581997533906</v>
      </c>
      <c r="AL151" s="82">
        <f>AL$11/Population!AT$26</f>
        <v>0.34655920644761312</v>
      </c>
      <c r="AM151" s="82">
        <f>AM$11/Population!AU$26</f>
        <v>0.34651307596513076</v>
      </c>
      <c r="AN151" s="82">
        <f>AN$11/Population!AV$26</f>
        <v>0.34655010927255697</v>
      </c>
      <c r="AO151" s="82">
        <f>AO$11/Population!AW$26</f>
        <v>0.34635823694904655</v>
      </c>
      <c r="AP151" s="82">
        <f>AP$11/Population!AX$26</f>
        <v>0.34625</v>
      </c>
      <c r="AQ151" s="82">
        <f>AQ$11/Population!AY$26</f>
        <v>0.34644194756554308</v>
      </c>
      <c r="AR151" s="82">
        <f>AR$11/Population!AZ$26</f>
        <v>0.34620174346201743</v>
      </c>
      <c r="AS151" s="82">
        <f>AS$11/Population!BA$26</f>
        <v>0.34627329192546585</v>
      </c>
      <c r="AT151" s="82">
        <f>AT$11/Population!BB$26</f>
        <v>0.34643962848297216</v>
      </c>
      <c r="AU151" s="82">
        <f>AU$11/Population!BC$26</f>
        <v>0.34629629629629627</v>
      </c>
      <c r="AV151" s="82">
        <f>AV$11/Population!BD$26</f>
        <v>0.34615384615384615</v>
      </c>
      <c r="AW151" s="82">
        <f>AW$11/Population!BE$26</f>
        <v>0.34611844123964408</v>
      </c>
      <c r="AX151" s="82">
        <f>AX$11/Population!BF$26</f>
        <v>0.34618916437098257</v>
      </c>
      <c r="AY151" s="82">
        <f>AY$11/Population!BG$26</f>
        <v>0.3462595419847328</v>
      </c>
      <c r="AZ151" s="82">
        <f>AZ$11/Population!BH$26</f>
        <v>0.34632957660676211</v>
      </c>
      <c r="BA151" s="82">
        <f>BA$11/Population!BI$26</f>
        <v>0.3463992707383774</v>
      </c>
      <c r="BB151" s="82">
        <f>BB$11/Population!BJ$26</f>
        <v>0.34616550469839347</v>
      </c>
      <c r="BC151" s="82">
        <f>BC$11/Population!BK$26</f>
        <v>0.34633998790078646</v>
      </c>
      <c r="BD151" s="82">
        <f>BD$11/Population!BL$26</f>
        <v>0.3461074230537115</v>
      </c>
    </row>
    <row r="152" spans="1:56" x14ac:dyDescent="0.2">
      <c r="C152" s="28">
        <v>17</v>
      </c>
      <c r="E152" s="82">
        <f>E$12/Population!M$27</f>
        <v>0.48213146139119334</v>
      </c>
      <c r="F152" s="82">
        <f>F$12/Population!N$27</f>
        <v>0.47837314396384767</v>
      </c>
      <c r="G152" s="82">
        <f>G$12/Population!O$27</f>
        <v>0.47505858721124872</v>
      </c>
      <c r="H152" s="82">
        <f>H$12/Population!P$27</f>
        <v>0.47153923880094306</v>
      </c>
      <c r="I152" s="82">
        <f>I$12/Population!Q$27</f>
        <v>0.4685846560846561</v>
      </c>
      <c r="J152" s="82">
        <f>J$12/Population!R$27</f>
        <v>0.46562603786117568</v>
      </c>
      <c r="K152" s="82">
        <f>K$12/Population!S$27</f>
        <v>0.46281260149399156</v>
      </c>
      <c r="L152" s="82">
        <f>L$12/Population!T$27</f>
        <v>0.46009975062344138</v>
      </c>
      <c r="M152" s="82">
        <f>M$12/Population!U$27</f>
        <v>0.45763221153846156</v>
      </c>
      <c r="N152" s="82">
        <f>N$12/Population!V$27</f>
        <v>0.45534629404617255</v>
      </c>
      <c r="O152" s="82">
        <f>O$12/Population!W$27</f>
        <v>0.4532544378698225</v>
      </c>
      <c r="P152" s="82">
        <f>P$12/Population!X$27</f>
        <v>0.45124512451245125</v>
      </c>
      <c r="Q152" s="82">
        <f>Q$12/Population!Y$27</f>
        <v>0.44961948249619482</v>
      </c>
      <c r="R152" s="82">
        <f>R$12/Population!Z$27</f>
        <v>0.44804193647856921</v>
      </c>
      <c r="S152" s="82">
        <f>S$12/Population!AA$27</f>
        <v>0.44634920634920633</v>
      </c>
      <c r="T152" s="82">
        <f>T$12/Population!AB$27</f>
        <v>0.44493952896244432</v>
      </c>
      <c r="U152" s="82">
        <f>U$12/Population!AC$27</f>
        <v>0.44348933460681311</v>
      </c>
      <c r="V152" s="82">
        <f>V$12/Population!AD$27</f>
        <v>0.44228356336260977</v>
      </c>
      <c r="W152" s="82">
        <f>W$12/Population!AE$27</f>
        <v>0.44143033292231815</v>
      </c>
      <c r="X152" s="82">
        <f>X$12/Population!AF$27</f>
        <v>0.44036418816388467</v>
      </c>
      <c r="Y152" s="82">
        <f>Y$12/Population!AG$27</f>
        <v>0.43935309973045822</v>
      </c>
      <c r="Z152" s="82">
        <f>Z$12/Population!AH$27</f>
        <v>0.43848206344500446</v>
      </c>
      <c r="AA152" s="82">
        <f>AA$12/Population!AI$27</f>
        <v>0.4375736160188457</v>
      </c>
      <c r="AB152" s="82">
        <f>AB$12/Population!AJ$27</f>
        <v>0.43695014662756598</v>
      </c>
      <c r="AC152" s="82">
        <f>AC$12/Population!AK$27</f>
        <v>0.43634767339771729</v>
      </c>
      <c r="AD152" s="82">
        <f>AD$12/Population!AL$27</f>
        <v>0.43576236464735146</v>
      </c>
      <c r="AE152" s="82">
        <f>AE$12/Population!AM$27</f>
        <v>0.43535620052770446</v>
      </c>
      <c r="AF152" s="82">
        <f>AF$12/Population!AN$27</f>
        <v>0.435</v>
      </c>
      <c r="AG152" s="82">
        <f>AG$12/Population!AO$27</f>
        <v>0.43469267139479906</v>
      </c>
      <c r="AH152" s="82">
        <f>AH$12/Population!AP$27</f>
        <v>0.43417533432392275</v>
      </c>
      <c r="AI152" s="82">
        <f>AI$12/Population!AQ$27</f>
        <v>0.43404128028716721</v>
      </c>
      <c r="AJ152" s="82">
        <f>AJ$12/Population!AR$27</f>
        <v>0.43373493975903615</v>
      </c>
      <c r="AK152" s="82">
        <f>AK$12/Population!AS$27</f>
        <v>0.43342432514407037</v>
      </c>
      <c r="AL152" s="82">
        <f>AL$12/Population!AT$27</f>
        <v>0.43315018315018317</v>
      </c>
      <c r="AM152" s="82">
        <f>AM$12/Population!AU$27</f>
        <v>0.4330877839165132</v>
      </c>
      <c r="AN152" s="82">
        <f>AN$12/Population!AV$27</f>
        <v>0.43279901356350187</v>
      </c>
      <c r="AO152" s="82">
        <f>AO$12/Population!AW$27</f>
        <v>0.43276661514683151</v>
      </c>
      <c r="AP152" s="82">
        <f>AP$12/Population!AX$27</f>
        <v>0.43268337975858867</v>
      </c>
      <c r="AQ152" s="82">
        <f>AQ$12/Population!AY$27</f>
        <v>0.43268337975858867</v>
      </c>
      <c r="AR152" s="82">
        <f>AR$12/Population!AZ$27</f>
        <v>0.43263288009888751</v>
      </c>
      <c r="AS152" s="82">
        <f>AS$12/Population!BA$27</f>
        <v>0.43262411347517732</v>
      </c>
      <c r="AT152" s="82">
        <f>AT$12/Population!BB$27</f>
        <v>0.4323493234932349</v>
      </c>
      <c r="AU152" s="82">
        <f>AU$12/Population!BC$27</f>
        <v>0.43268935909230299</v>
      </c>
      <c r="AV152" s="82">
        <f>AV$12/Population!BD$27</f>
        <v>0.43258942219504737</v>
      </c>
      <c r="AW152" s="82">
        <f>AW$12/Population!BE$27</f>
        <v>0.43249009448338921</v>
      </c>
      <c r="AX152" s="82">
        <f>AX$12/Population!BF$27</f>
        <v>0.43252279635258356</v>
      </c>
      <c r="AY152" s="82">
        <f>AY$12/Population!BG$27</f>
        <v>0.43255531979387696</v>
      </c>
      <c r="AZ152" s="82">
        <f>AZ$12/Population!BH$27</f>
        <v>0.43241608708799517</v>
      </c>
      <c r="BA152" s="82">
        <f>BA$12/Population!BI$27</f>
        <v>0.43227752639517347</v>
      </c>
      <c r="BB152" s="82">
        <f>BB$12/Population!BJ$27</f>
        <v>0.4325707405177604</v>
      </c>
      <c r="BC152" s="82">
        <f>BC$12/Population!BK$27</f>
        <v>0.43243243243243246</v>
      </c>
      <c r="BD152" s="82">
        <f>BD$12/Population!BL$27</f>
        <v>0.43229478729778309</v>
      </c>
    </row>
    <row r="153" spans="1:56" x14ac:dyDescent="0.2">
      <c r="C153" s="28">
        <v>18</v>
      </c>
      <c r="E153" s="82">
        <f>E$13/Population!M$28</f>
        <v>0.56859557867360211</v>
      </c>
      <c r="F153" s="82">
        <f>F$13/Population!N$28</f>
        <v>0.5640864932623002</v>
      </c>
      <c r="G153" s="82">
        <f>G$13/Population!O$28</f>
        <v>0.55986027310257225</v>
      </c>
      <c r="H153" s="82">
        <f>H$13/Population!P$28</f>
        <v>0.55592213790828104</v>
      </c>
      <c r="I153" s="82">
        <f>I$13/Population!Q$28</f>
        <v>0.55222887558216904</v>
      </c>
      <c r="J153" s="82">
        <f>J$13/Population!R$28</f>
        <v>0.54878847413228549</v>
      </c>
      <c r="K153" s="82">
        <f>K$13/Population!S$28</f>
        <v>0.54521538967444916</v>
      </c>
      <c r="L153" s="82">
        <f>L$13/Population!T$28</f>
        <v>0.54229655837890001</v>
      </c>
      <c r="M153" s="82">
        <f>M$13/Population!U$28</f>
        <v>0.53922174181593574</v>
      </c>
      <c r="N153" s="82">
        <f>N$13/Population!V$28</f>
        <v>0.53646918725811255</v>
      </c>
      <c r="O153" s="82">
        <f>O$13/Population!W$28</f>
        <v>0.53385495034607278</v>
      </c>
      <c r="P153" s="82">
        <f>P$13/Population!X$28</f>
        <v>0.53167155425219936</v>
      </c>
      <c r="Q153" s="82">
        <f>Q$13/Population!Y$28</f>
        <v>0.52958667856080877</v>
      </c>
      <c r="R153" s="82">
        <f>R$13/Population!Z$28</f>
        <v>0.52760180995475114</v>
      </c>
      <c r="S153" s="82">
        <f>S$13/Population!AA$28</f>
        <v>0.52565668906536345</v>
      </c>
      <c r="T153" s="82">
        <f>T$13/Population!AB$28</f>
        <v>0.52389937106918238</v>
      </c>
      <c r="U153" s="82">
        <f>U$13/Population!AC$28</f>
        <v>0.52221872045382922</v>
      </c>
      <c r="V153" s="82">
        <f>V$13/Population!AD$28</f>
        <v>0.52097130242825607</v>
      </c>
      <c r="W153" s="82">
        <f>W$13/Population!AE$28</f>
        <v>0.51957737725295217</v>
      </c>
      <c r="X153" s="82">
        <f>X$13/Population!AF$28</f>
        <v>0.51847328244274804</v>
      </c>
      <c r="Y153" s="82">
        <f>Y$13/Population!AG$28</f>
        <v>0.51713770294648231</v>
      </c>
      <c r="Z153" s="82">
        <f>Z$13/Population!AH$28</f>
        <v>0.51617690709409325</v>
      </c>
      <c r="AA153" s="82">
        <f>AA$13/Population!AI$28</f>
        <v>0.51542756391419331</v>
      </c>
      <c r="AB153" s="82">
        <f>AB$13/Population!AJ$28</f>
        <v>0.51444412022176833</v>
      </c>
      <c r="AC153" s="82">
        <f>AC$13/Population!AK$28</f>
        <v>0.51395348837209298</v>
      </c>
      <c r="AD153" s="82">
        <f>AD$13/Population!AL$28</f>
        <v>0.51319988395706406</v>
      </c>
      <c r="AE153" s="82">
        <f>AE$13/Population!AM$28</f>
        <v>0.51247099767981441</v>
      </c>
      <c r="AF153" s="82">
        <f>AF$13/Population!AN$28</f>
        <v>0.51191167925624637</v>
      </c>
      <c r="AG153" s="82">
        <f>AG$13/Population!AO$28</f>
        <v>0.51151267851938209</v>
      </c>
      <c r="AH153" s="82">
        <f>AH$13/Population!AP$28</f>
        <v>0.51127379209370427</v>
      </c>
      <c r="AI153" s="82">
        <f>AI$13/Population!AQ$28</f>
        <v>0.51104565537555224</v>
      </c>
      <c r="AJ153" s="82">
        <f>AJ$13/Population!AR$28</f>
        <v>0.51037344398340245</v>
      </c>
      <c r="AK153" s="82">
        <f>AK$13/Population!AS$28</f>
        <v>0.5104477611940299</v>
      </c>
      <c r="AL153" s="82">
        <f>AL$13/Population!AT$28</f>
        <v>0.51006913134956422</v>
      </c>
      <c r="AM153" s="82">
        <f>AM$13/Population!AU$28</f>
        <v>0.50998185117967332</v>
      </c>
      <c r="AN153" s="82">
        <f>AN$13/Population!AV$28</f>
        <v>0.50973236009732359</v>
      </c>
      <c r="AO153" s="82">
        <f>AO$13/Population!AW$28</f>
        <v>0.50946854001221742</v>
      </c>
      <c r="AP153" s="82">
        <f>AP$13/Population!AX$28</f>
        <v>0.50934150076569673</v>
      </c>
      <c r="AQ153" s="82">
        <f>AQ$13/Population!AY$28</f>
        <v>0.50935295921496471</v>
      </c>
      <c r="AR153" s="82">
        <f>AR$13/Population!AZ$28</f>
        <v>0.50919681177191911</v>
      </c>
      <c r="AS153" s="82">
        <f>AS$13/Population!BA$28</f>
        <v>0.50918554807103489</v>
      </c>
      <c r="AT153" s="82">
        <f>AT$13/Population!BB$28</f>
        <v>0.50916310323762981</v>
      </c>
      <c r="AU153" s="82">
        <f>AU$13/Population!BC$28</f>
        <v>0.50914076782449724</v>
      </c>
      <c r="AV153" s="82">
        <f>AV$13/Population!BD$28</f>
        <v>0.50911300121506686</v>
      </c>
      <c r="AW153" s="82">
        <f>AW$13/Population!BE$28</f>
        <v>0.50908540278619019</v>
      </c>
      <c r="AX153" s="82">
        <f>AX$13/Population!BF$28</f>
        <v>0.50905797101449279</v>
      </c>
      <c r="AY153" s="82">
        <f>AY$13/Population!BG$28</f>
        <v>0.50918398072869619</v>
      </c>
      <c r="AZ153" s="82">
        <f>AZ$13/Population!BH$28</f>
        <v>0.50916191048362869</v>
      </c>
      <c r="BA153" s="82">
        <f>BA$13/Population!BI$28</f>
        <v>0.5089874176153385</v>
      </c>
      <c r="BB153" s="82">
        <f>BB$13/Population!BJ$28</f>
        <v>0.509118086696562</v>
      </c>
      <c r="BC153" s="82">
        <f>BC$13/Population!BK$28</f>
        <v>0.50909633164330448</v>
      </c>
      <c r="BD153" s="82">
        <f>BD$13/Population!BL$28</f>
        <v>0.50907468015471591</v>
      </c>
    </row>
    <row r="154" spans="1:56" x14ac:dyDescent="0.2">
      <c r="C154" s="28">
        <v>19</v>
      </c>
      <c r="E154" s="82">
        <f>E$14/Population!M$29</f>
        <v>0.62816901408450709</v>
      </c>
      <c r="F154" s="82">
        <f>F$14/Population!N$29</f>
        <v>0.62404580152671751</v>
      </c>
      <c r="G154" s="82">
        <f>G$14/Population!O$29</f>
        <v>0.62049861495844871</v>
      </c>
      <c r="H154" s="82">
        <f>H$14/Population!P$29</f>
        <v>0.61702127659574468</v>
      </c>
      <c r="I154" s="82">
        <f>I$14/Population!Q$29</f>
        <v>0.6139550048907727</v>
      </c>
      <c r="J154" s="82">
        <f>J$14/Population!R$29</f>
        <v>0.61101946552292974</v>
      </c>
      <c r="K154" s="82">
        <f>K$14/Population!S$29</f>
        <v>0.60811688311688317</v>
      </c>
      <c r="L154" s="82">
        <f>L$14/Population!T$29</f>
        <v>0.60547766547114446</v>
      </c>
      <c r="M154" s="82">
        <f>M$14/Population!U$29</f>
        <v>0.60318979266347683</v>
      </c>
      <c r="N154" s="82">
        <f>N$14/Population!V$29</f>
        <v>0.60098069261415876</v>
      </c>
      <c r="O154" s="82">
        <f>O$14/Population!W$29</f>
        <v>0.59869976359338062</v>
      </c>
      <c r="P154" s="82">
        <f>P$14/Population!X$29</f>
        <v>0.59677419354838712</v>
      </c>
      <c r="Q154" s="82">
        <f>Q$14/Population!Y$29</f>
        <v>0.5948777648428405</v>
      </c>
      <c r="R154" s="82">
        <f>R$14/Population!Z$29</f>
        <v>0.59327036599763872</v>
      </c>
      <c r="S154" s="82">
        <f>S$14/Population!AA$29</f>
        <v>0.59143968871595332</v>
      </c>
      <c r="T154" s="82">
        <f>T$14/Population!AB$29</f>
        <v>0.59017884207335558</v>
      </c>
      <c r="U154" s="82">
        <f>U$14/Population!AC$29</f>
        <v>0.58858390517779169</v>
      </c>
      <c r="V154" s="82">
        <f>V$14/Population!AD$29</f>
        <v>0.58755472170106315</v>
      </c>
      <c r="W154" s="82">
        <f>W$14/Population!AE$29</f>
        <v>0.58648733187363156</v>
      </c>
      <c r="X154" s="82">
        <f>X$14/Population!AF$29</f>
        <v>0.58556891766882513</v>
      </c>
      <c r="Y154" s="82">
        <f>Y$14/Population!AG$29</f>
        <v>0.58454545454545459</v>
      </c>
      <c r="Z154" s="82">
        <f>Z$14/Population!AH$29</f>
        <v>0.58370635631154877</v>
      </c>
      <c r="AA154" s="82">
        <f>AA$14/Population!AI$29</f>
        <v>0.58291605301914584</v>
      </c>
      <c r="AB154" s="82">
        <f>AB$14/Population!AJ$29</f>
        <v>0.58209390492855062</v>
      </c>
      <c r="AC154" s="82">
        <f>AC$14/Population!AK$29</f>
        <v>0.58169177288528384</v>
      </c>
      <c r="AD154" s="82">
        <f>AD$14/Population!AL$29</f>
        <v>0.58107328332371611</v>
      </c>
      <c r="AE154" s="82">
        <f>AE$14/Population!AM$29</f>
        <v>0.58047797293406278</v>
      </c>
      <c r="AF154" s="82">
        <f>AF$14/Population!AN$29</f>
        <v>0.58019003743161535</v>
      </c>
      <c r="AG154" s="82">
        <f>AG$14/Population!AO$29</f>
        <v>0.57975194692818</v>
      </c>
      <c r="AH154" s="82">
        <f>AH$14/Population!AP$29</f>
        <v>0.57928240740740744</v>
      </c>
      <c r="AI154" s="82">
        <f>AI$14/Population!AQ$29</f>
        <v>0.57906976744186045</v>
      </c>
      <c r="AJ154" s="82">
        <f>AJ$14/Population!AR$29</f>
        <v>0.5787781350482315</v>
      </c>
      <c r="AK154" s="82">
        <f>AK$14/Population!AS$29</f>
        <v>0.578699617534569</v>
      </c>
      <c r="AL154" s="82">
        <f>AL$14/Population!AT$29</f>
        <v>0.57849526066350709</v>
      </c>
      <c r="AM154" s="82">
        <f>AM$14/Population!AU$29</f>
        <v>0.57828810020876831</v>
      </c>
      <c r="AN154" s="82">
        <f>AN$14/Population!AV$29</f>
        <v>0.57803121248499401</v>
      </c>
      <c r="AO154" s="82">
        <f>AO$14/Population!AW$29</f>
        <v>0.57785153892576946</v>
      </c>
      <c r="AP154" s="82">
        <f>AP$14/Population!AX$29</f>
        <v>0.57787878787878788</v>
      </c>
      <c r="AQ154" s="82">
        <f>AQ$14/Population!AY$29</f>
        <v>0.57763597690671531</v>
      </c>
      <c r="AR154" s="82">
        <f>AR$14/Population!AZ$29</f>
        <v>0.57773045330088224</v>
      </c>
      <c r="AS154" s="82">
        <f>AS$14/Population!BA$29</f>
        <v>0.57755474452554745</v>
      </c>
      <c r="AT154" s="82">
        <f>AT$14/Population!BB$29</f>
        <v>0.57776427703523692</v>
      </c>
      <c r="AU154" s="82">
        <f>AU$14/Population!BC$29</f>
        <v>0.57775083358593515</v>
      </c>
      <c r="AV154" s="82">
        <f>AV$14/Population!BD$29</f>
        <v>0.57769044740024189</v>
      </c>
      <c r="AW154" s="82">
        <f>AW$14/Population!BE$29</f>
        <v>0.57745629897528628</v>
      </c>
      <c r="AX154" s="82">
        <f>AX$14/Population!BF$29</f>
        <v>0.57752403846153844</v>
      </c>
      <c r="AY154" s="82">
        <f>AY$14/Population!BG$29</f>
        <v>0.57776445909499552</v>
      </c>
      <c r="AZ154" s="82">
        <f>AZ$14/Population!BH$29</f>
        <v>0.57753211831490892</v>
      </c>
      <c r="BA154" s="82">
        <f>BA$14/Population!BI$29</f>
        <v>0.57764530551415794</v>
      </c>
      <c r="BB154" s="82">
        <f>BB$14/Population!BJ$29</f>
        <v>0.57775795420755283</v>
      </c>
      <c r="BC154" s="82">
        <f>BC$14/Population!BK$29</f>
        <v>0.57757342035004444</v>
      </c>
      <c r="BD154" s="82">
        <f>BD$14/Population!BL$29</f>
        <v>0.57768570583012724</v>
      </c>
    </row>
    <row r="155" spans="1:56" x14ac:dyDescent="0.2">
      <c r="C155" s="28">
        <v>20</v>
      </c>
      <c r="E155" s="82">
        <f>E$15/Population!M$30</f>
        <v>0.66898428053204351</v>
      </c>
      <c r="F155" s="82">
        <f>F$15/Population!N$30</f>
        <v>0.66656441717791415</v>
      </c>
      <c r="G155" s="82">
        <f>G$15/Population!O$30</f>
        <v>0.66458072590738426</v>
      </c>
      <c r="H155" s="82">
        <f>H$15/Population!P$30</f>
        <v>0.66251140164183642</v>
      </c>
      <c r="I155" s="82">
        <f>I$15/Population!Q$30</f>
        <v>0.66066997518610426</v>
      </c>
      <c r="J155" s="82">
        <f>J$15/Population!R$30</f>
        <v>0.65856031128404668</v>
      </c>
      <c r="K155" s="82">
        <f>K$15/Population!S$30</f>
        <v>0.65715223097112863</v>
      </c>
      <c r="L155" s="82">
        <f>L$15/Population!T$30</f>
        <v>0.65536175710594313</v>
      </c>
      <c r="M155" s="82">
        <f>M$15/Population!U$30</f>
        <v>0.65390853065196242</v>
      </c>
      <c r="N155" s="82">
        <f>N$15/Population!V$30</f>
        <v>0.65249127261186923</v>
      </c>
      <c r="O155" s="82">
        <f>O$15/Population!W$30</f>
        <v>0.65121951219512197</v>
      </c>
      <c r="P155" s="82">
        <f>P$15/Population!X$30</f>
        <v>0.64980887974125257</v>
      </c>
      <c r="Q155" s="82">
        <f>Q$15/Population!Y$30</f>
        <v>0.64873699851411593</v>
      </c>
      <c r="R155" s="82">
        <f>R$15/Population!Z$30</f>
        <v>0.64774044032444955</v>
      </c>
      <c r="S155" s="82">
        <f>S$15/Population!AA$30</f>
        <v>0.64698972099853158</v>
      </c>
      <c r="T155" s="82">
        <f>T$15/Population!AB$30</f>
        <v>0.64611260053619302</v>
      </c>
      <c r="U155" s="82">
        <f>U$15/Population!AC$30</f>
        <v>0.64505428226779249</v>
      </c>
      <c r="V155" s="82">
        <f>V$15/Population!AD$30</f>
        <v>0.64432029795158285</v>
      </c>
      <c r="W155" s="82">
        <f>W$15/Population!AE$30</f>
        <v>0.64385692068429234</v>
      </c>
      <c r="X155" s="82">
        <f>X$15/Population!AF$30</f>
        <v>0.64312383322962041</v>
      </c>
      <c r="Y155" s="82">
        <f>Y$15/Population!AG$30</f>
        <v>0.6426380368098159</v>
      </c>
      <c r="Z155" s="82">
        <f>Z$15/Population!AH$30</f>
        <v>0.64214651793789568</v>
      </c>
      <c r="AA155" s="82">
        <f>AA$15/Population!AI$30</f>
        <v>0.64162707838479816</v>
      </c>
      <c r="AB155" s="82">
        <f>AB$15/Population!AJ$30</f>
        <v>0.64097303634232117</v>
      </c>
      <c r="AC155" s="82">
        <f>AC$15/Population!AK$30</f>
        <v>0.64074289030760301</v>
      </c>
      <c r="AD155" s="82">
        <f>AD$15/Population!AL$30</f>
        <v>0.64053041222254248</v>
      </c>
      <c r="AE155" s="82">
        <f>AE$15/Population!AM$30</f>
        <v>0.63996554694229113</v>
      </c>
      <c r="AF155" s="82">
        <f>AF$15/Population!AN$30</f>
        <v>0.63982808022922633</v>
      </c>
      <c r="AG155" s="82">
        <f>AG$15/Population!AO$30</f>
        <v>0.63954154727793699</v>
      </c>
      <c r="AH155" s="82">
        <f>AH$15/Population!AP$30</f>
        <v>0.63949483352468428</v>
      </c>
      <c r="AI155" s="82">
        <f>AI$15/Population!AQ$30</f>
        <v>0.63921681543334297</v>
      </c>
      <c r="AJ155" s="82">
        <f>AJ$15/Population!AR$30</f>
        <v>0.63899334683251374</v>
      </c>
      <c r="AK155" s="82">
        <f>AK$15/Population!AS$30</f>
        <v>0.63903432228039558</v>
      </c>
      <c r="AL155" s="82">
        <f>AL$15/Population!AT$30</f>
        <v>0.63875878220140514</v>
      </c>
      <c r="AM155" s="82">
        <f>AM$15/Population!AU$30</f>
        <v>0.63866784556439726</v>
      </c>
      <c r="AN155" s="82">
        <f>AN$15/Population!AV$30</f>
        <v>0.63857566765578633</v>
      </c>
      <c r="AO155" s="82">
        <f>AO$15/Population!AW$30</f>
        <v>0.63869811884144523</v>
      </c>
      <c r="AP155" s="82">
        <f>AP$15/Population!AX$30</f>
        <v>0.63854698288802159</v>
      </c>
      <c r="AQ155" s="82">
        <f>AQ$15/Population!AY$30</f>
        <v>0.63852879107627369</v>
      </c>
      <c r="AR155" s="82">
        <f>AR$15/Population!AZ$30</f>
        <v>0.63845223700120923</v>
      </c>
      <c r="AS155" s="82">
        <f>AS$15/Population!BA$30</f>
        <v>0.63831719128329301</v>
      </c>
      <c r="AT155" s="82">
        <f>AT$15/Population!BB$30</f>
        <v>0.63842662632375191</v>
      </c>
      <c r="AU155" s="82">
        <f>AU$15/Population!BC$30</f>
        <v>0.63825929283771532</v>
      </c>
      <c r="AV155" s="82">
        <f>AV$15/Population!BD$30</f>
        <v>0.63822731383780529</v>
      </c>
      <c r="AW155" s="82">
        <f>AW$15/Population!BE$30</f>
        <v>0.63849624060150378</v>
      </c>
      <c r="AX155" s="82">
        <f>AX$15/Population!BF$30</f>
        <v>0.63838080959520238</v>
      </c>
      <c r="AY155" s="82">
        <f>AY$15/Population!BG$30</f>
        <v>0.63826606875934233</v>
      </c>
      <c r="AZ155" s="82">
        <f>AZ$15/Population!BH$30</f>
        <v>0.6381520119225037</v>
      </c>
      <c r="BA155" s="82">
        <f>BA$15/Population!BI$30</f>
        <v>0.63822829964328176</v>
      </c>
      <c r="BB155" s="82">
        <f>BB$15/Population!BJ$30</f>
        <v>0.63849347568208781</v>
      </c>
      <c r="BC155" s="82">
        <f>BC$15/Population!BK$30</f>
        <v>0.63827270038450168</v>
      </c>
      <c r="BD155" s="82">
        <f>BD$15/Population!BL$30</f>
        <v>0.63842975206611574</v>
      </c>
    </row>
    <row r="156" spans="1:56" x14ac:dyDescent="0.2">
      <c r="C156" s="28">
        <v>21</v>
      </c>
      <c r="E156" s="82">
        <f>E$16/Population!M$31</f>
        <v>0.69495620658411361</v>
      </c>
      <c r="F156" s="82">
        <f>F$16/Population!N$31</f>
        <v>0.69436997319034854</v>
      </c>
      <c r="G156" s="82">
        <f>G$16/Population!O$31</f>
        <v>0.69438543247344464</v>
      </c>
      <c r="H156" s="82">
        <f>H$16/Population!P$31</f>
        <v>0.69369369369369371</v>
      </c>
      <c r="I156" s="82">
        <f>I$16/Population!Q$31</f>
        <v>0.69354349802970594</v>
      </c>
      <c r="J156" s="82">
        <f>J$16/Population!R$31</f>
        <v>0.69326296181310154</v>
      </c>
      <c r="K156" s="82">
        <f>K$16/Population!S$31</f>
        <v>0.69318181818181823</v>
      </c>
      <c r="L156" s="82">
        <f>L$16/Population!T$31</f>
        <v>0.69261083743842367</v>
      </c>
      <c r="M156" s="82">
        <f>M$16/Population!U$31</f>
        <v>0.69253152279340446</v>
      </c>
      <c r="N156" s="82">
        <f>N$16/Population!V$31</f>
        <v>0.69220779220779216</v>
      </c>
      <c r="O156" s="82">
        <f>O$16/Population!W$31</f>
        <v>0.69186785260482841</v>
      </c>
      <c r="P156" s="82">
        <f>P$16/Population!X$31</f>
        <v>0.69200244200244199</v>
      </c>
      <c r="Q156" s="82">
        <f>Q$16/Population!Y$31</f>
        <v>0.69178687076832501</v>
      </c>
      <c r="R156" s="82">
        <f>R$16/Population!Z$31</f>
        <v>0.69146087473966078</v>
      </c>
      <c r="S156" s="82">
        <f>S$16/Population!AA$31</f>
        <v>0.69121484488257467</v>
      </c>
      <c r="T156" s="82">
        <f>T$16/Population!AB$31</f>
        <v>0.69106407995296881</v>
      </c>
      <c r="U156" s="82">
        <f>U$16/Population!AC$31</f>
        <v>0.69111508646392372</v>
      </c>
      <c r="V156" s="82">
        <f>V$16/Population!AD$31</f>
        <v>0.69112318840579712</v>
      </c>
      <c r="W156" s="82">
        <f>W$16/Population!AE$31</f>
        <v>0.69089779434607024</v>
      </c>
      <c r="X156" s="82">
        <f>X$16/Population!AF$31</f>
        <v>0.6905354919053549</v>
      </c>
      <c r="Y156" s="82">
        <f>Y$16/Population!AG$31</f>
        <v>0.69065420560747659</v>
      </c>
      <c r="Z156" s="82">
        <f>Z$16/Population!AH$31</f>
        <v>0.69051274178692046</v>
      </c>
      <c r="AA156" s="82">
        <f>AA$16/Population!AI$31</f>
        <v>0.69040434520217264</v>
      </c>
      <c r="AB156" s="82">
        <f>AB$16/Population!AJ$31</f>
        <v>0.69034175334323922</v>
      </c>
      <c r="AC156" s="82">
        <f>AC$16/Population!AK$31</f>
        <v>0.6904342723004695</v>
      </c>
      <c r="AD156" s="82">
        <f>AD$16/Population!AL$31</f>
        <v>0.69009584664536738</v>
      </c>
      <c r="AE156" s="82">
        <f>AE$16/Population!AM$31</f>
        <v>0.69013271783035202</v>
      </c>
      <c r="AF156" s="82">
        <f>AF$16/Population!AN$31</f>
        <v>0.69022988505747129</v>
      </c>
      <c r="AG156" s="82">
        <f>AG$16/Population!AO$31</f>
        <v>0.68999139661600228</v>
      </c>
      <c r="AH156" s="82">
        <f>AH$16/Population!AP$31</f>
        <v>0.68999139661600228</v>
      </c>
      <c r="AI156" s="82">
        <f>AI$16/Population!AQ$31</f>
        <v>0.69003160011490949</v>
      </c>
      <c r="AJ156" s="82">
        <f>AJ$16/Population!AR$31</f>
        <v>0.69020172910662825</v>
      </c>
      <c r="AK156" s="82">
        <f>AK$16/Population!AS$31</f>
        <v>0.69021424435437173</v>
      </c>
      <c r="AL156" s="82">
        <f>AL$16/Population!AT$31</f>
        <v>0.68995633187772931</v>
      </c>
      <c r="AM156" s="82">
        <f>AM$16/Population!AU$31</f>
        <v>0.69000878992089076</v>
      </c>
      <c r="AN156" s="82">
        <f>AN$16/Population!AV$31</f>
        <v>0.68997050147492622</v>
      </c>
      <c r="AO156" s="82">
        <f>AO$16/Population!AW$31</f>
        <v>0.68993168993168996</v>
      </c>
      <c r="AP156" s="82">
        <f>AP$16/Population!AX$31</f>
        <v>0.69007770472205621</v>
      </c>
      <c r="AQ156" s="82">
        <f>AQ$16/Population!AY$31</f>
        <v>0.68990384615384615</v>
      </c>
      <c r="AR156" s="82">
        <f>AR$16/Population!AZ$31</f>
        <v>0.69010259505129756</v>
      </c>
      <c r="AS156" s="82">
        <f>AS$16/Population!BA$31</f>
        <v>0.68986384266263234</v>
      </c>
      <c r="AT156" s="82">
        <f>AT$16/Population!BB$31</f>
        <v>0.69009391093607997</v>
      </c>
      <c r="AU156" s="82">
        <f>AU$16/Population!BC$31</f>
        <v>0.68988491823137488</v>
      </c>
      <c r="AV156" s="82">
        <f>AV$16/Population!BD$31</f>
        <v>0.68995765275257104</v>
      </c>
      <c r="AW156" s="82">
        <f>AW$16/Population!BE$31</f>
        <v>0.69000905523694533</v>
      </c>
      <c r="AX156" s="82">
        <f>AX$16/Population!BF$31</f>
        <v>0.68994581577363034</v>
      </c>
      <c r="AY156" s="82">
        <f>AY$16/Population!BG$31</f>
        <v>0.68997599039615842</v>
      </c>
      <c r="AZ156" s="82">
        <f>AZ$16/Population!BH$31</f>
        <v>0.6900059844404548</v>
      </c>
      <c r="BA156" s="82">
        <f>BA$16/Population!BI$31</f>
        <v>0.69003579952267302</v>
      </c>
      <c r="BB156" s="82">
        <f>BB$16/Population!BJ$31</f>
        <v>0.68997322225528113</v>
      </c>
      <c r="BC156" s="82">
        <f>BC$16/Population!BK$31</f>
        <v>0.69011576135351738</v>
      </c>
      <c r="BD156" s="82">
        <f>BD$16/Population!BL$31</f>
        <v>0.68975725281231492</v>
      </c>
    </row>
    <row r="157" spans="1:56" x14ac:dyDescent="0.2">
      <c r="C157" s="28">
        <v>22</v>
      </c>
      <c r="E157" s="82">
        <f>E$17/Population!M$32</f>
        <v>0.72070196311719215</v>
      </c>
      <c r="F157" s="82">
        <f>F$17/Population!N$32</f>
        <v>0.72156045265038715</v>
      </c>
      <c r="G157" s="82">
        <f>G$17/Population!O$32</f>
        <v>0.7223042836041359</v>
      </c>
      <c r="H157" s="82">
        <f>H$17/Population!P$32</f>
        <v>0.72314674735249618</v>
      </c>
      <c r="I157" s="82">
        <f>I$17/Population!Q$32</f>
        <v>0.72376206789162256</v>
      </c>
      <c r="J157" s="82">
        <f>J$17/Population!R$32</f>
        <v>0.72463325183374083</v>
      </c>
      <c r="K157" s="82">
        <f>K$17/Population!S$32</f>
        <v>0.72510958046336882</v>
      </c>
      <c r="L157" s="82">
        <f>L$17/Population!T$32</f>
        <v>0.72560576293385726</v>
      </c>
      <c r="M157" s="82">
        <f>M$17/Population!U$32</f>
        <v>0.72630881378396284</v>
      </c>
      <c r="N157" s="82">
        <f>N$17/Population!V$32</f>
        <v>0.72700587084148727</v>
      </c>
      <c r="O157" s="82">
        <f>O$17/Population!W$32</f>
        <v>0.72748116606616442</v>
      </c>
      <c r="P157" s="82">
        <f>P$17/Population!X$32</f>
        <v>0.72765139378404353</v>
      </c>
      <c r="Q157" s="82">
        <f>Q$17/Population!Y$32</f>
        <v>0.72799999999999998</v>
      </c>
      <c r="R157" s="82">
        <f>R$17/Population!Z$32</f>
        <v>0.7285671907445862</v>
      </c>
      <c r="S157" s="82">
        <f>S$17/Population!AA$32</f>
        <v>0.72893553223388308</v>
      </c>
      <c r="T157" s="82">
        <f>T$17/Population!AB$32</f>
        <v>0.72939801285797778</v>
      </c>
      <c r="U157" s="82">
        <f>U$17/Population!AC$32</f>
        <v>0.72948148148148151</v>
      </c>
      <c r="V157" s="82">
        <f>V$17/Population!AD$32</f>
        <v>0.72956730769230771</v>
      </c>
      <c r="W157" s="82">
        <f>W$17/Population!AE$32</f>
        <v>0.7300669506999391</v>
      </c>
      <c r="X157" s="82">
        <f>X$17/Population!AF$32</f>
        <v>0.7300344503601629</v>
      </c>
      <c r="Y157" s="82">
        <f>Y$17/Population!AG$32</f>
        <v>0.73061224489795917</v>
      </c>
      <c r="Z157" s="82">
        <f>Z$17/Population!AH$32</f>
        <v>0.73084170854271358</v>
      </c>
      <c r="AA157" s="82">
        <f>AA$17/Population!AI$32</f>
        <v>0.73073351903435468</v>
      </c>
      <c r="AB157" s="82">
        <f>AB$17/Population!AJ$32</f>
        <v>0.7308394160583942</v>
      </c>
      <c r="AC157" s="82">
        <f>AC$17/Population!AK$32</f>
        <v>0.73105720275531594</v>
      </c>
      <c r="AD157" s="82">
        <f>AD$17/Population!AL$32</f>
        <v>0.73122412773506795</v>
      </c>
      <c r="AE157" s="82">
        <f>AE$17/Population!AM$32</f>
        <v>0.73155737704918034</v>
      </c>
      <c r="AF157" s="82">
        <f>AF$17/Population!AN$32</f>
        <v>0.73139534883720925</v>
      </c>
      <c r="AG157" s="82">
        <f>AG$17/Population!AO$32</f>
        <v>0.73153779322328405</v>
      </c>
      <c r="AH157" s="82">
        <f>AH$17/Population!AP$32</f>
        <v>0.73179190751445089</v>
      </c>
      <c r="AI157" s="82">
        <f>AI$17/Population!AQ$32</f>
        <v>0.7315804680728113</v>
      </c>
      <c r="AJ157" s="82">
        <f>AJ$17/Population!AR$32</f>
        <v>0.73169319826338641</v>
      </c>
      <c r="AK157" s="82">
        <f>AK$17/Population!AS$32</f>
        <v>0.73170731707317072</v>
      </c>
      <c r="AL157" s="82">
        <f>AL$17/Population!AT$32</f>
        <v>0.73191365227537919</v>
      </c>
      <c r="AM157" s="82">
        <f>AM$17/Population!AU$32</f>
        <v>0.73188618363156355</v>
      </c>
      <c r="AN157" s="82">
        <f>AN$17/Population!AV$32</f>
        <v>0.73191614998523769</v>
      </c>
      <c r="AO157" s="82">
        <f>AO$17/Population!AW$32</f>
        <v>0.73186682520808566</v>
      </c>
      <c r="AP157" s="82">
        <f>AP$17/Population!AX$32</f>
        <v>0.73211613289434296</v>
      </c>
      <c r="AQ157" s="82">
        <f>AQ$17/Population!AY$32</f>
        <v>0.73192771084337349</v>
      </c>
      <c r="AR157" s="82">
        <f>AR$17/Population!AZ$32</f>
        <v>0.73198061780738943</v>
      </c>
      <c r="AS157" s="82">
        <f>AS$17/Population!BA$32</f>
        <v>0.73205596107055959</v>
      </c>
      <c r="AT157" s="82">
        <f>AT$17/Population!BB$32</f>
        <v>0.73193046660567251</v>
      </c>
      <c r="AU157" s="82">
        <f>AU$17/Population!BC$32</f>
        <v>0.73190839694656484</v>
      </c>
      <c r="AV157" s="82">
        <f>AV$17/Population!BD$32</f>
        <v>0.73199023199023194</v>
      </c>
      <c r="AW157" s="82">
        <f>AW$17/Population!BE$32</f>
        <v>0.73201219512195126</v>
      </c>
      <c r="AX157" s="82">
        <f>AX$17/Population!BF$32</f>
        <v>0.73227867356251897</v>
      </c>
      <c r="AY157" s="82">
        <f>AY$17/Population!BG$32</f>
        <v>0.73209951456310685</v>
      </c>
      <c r="AZ157" s="82">
        <f>AZ$17/Population!BH$32</f>
        <v>0.73200241984271019</v>
      </c>
      <c r="BA157" s="82">
        <f>BA$17/Population!BI$32</f>
        <v>0.73190591073582634</v>
      </c>
      <c r="BB157" s="82">
        <f>BB$17/Population!BJ$32</f>
        <v>0.73180998196031266</v>
      </c>
      <c r="BC157" s="82">
        <f>BC$17/Population!BK$32</f>
        <v>0.73193403298350823</v>
      </c>
      <c r="BD157" s="82">
        <f>BD$17/Population!BL$32</f>
        <v>0.73227639844451087</v>
      </c>
    </row>
    <row r="158" spans="1:56" x14ac:dyDescent="0.2">
      <c r="C158" s="28">
        <v>23</v>
      </c>
      <c r="E158" s="82">
        <f>E$18/Population!M$33</f>
        <v>0.73958025421223761</v>
      </c>
      <c r="F158" s="82">
        <f>F$18/Population!N$33</f>
        <v>0.74169096209912533</v>
      </c>
      <c r="G158" s="82">
        <f>G$18/Population!O$33</f>
        <v>0.74368018812463255</v>
      </c>
      <c r="H158" s="82">
        <f>H$18/Population!P$33</f>
        <v>0.7454492072812684</v>
      </c>
      <c r="I158" s="82">
        <f>I$18/Population!Q$33</f>
        <v>0.74689676052073872</v>
      </c>
      <c r="J158" s="82">
        <f>J$18/Population!R$33</f>
        <v>0.74874371859296485</v>
      </c>
      <c r="K158" s="82">
        <f>K$18/Population!S$33</f>
        <v>0.7498459642637092</v>
      </c>
      <c r="L158" s="82">
        <f>L$18/Population!T$33</f>
        <v>0.7512626262626263</v>
      </c>
      <c r="M158" s="82">
        <f>M$18/Population!U$33</f>
        <v>0.75264200792602376</v>
      </c>
      <c r="N158" s="82">
        <f>N$18/Population!V$33</f>
        <v>0.75401069518716579</v>
      </c>
      <c r="O158" s="82">
        <f>O$18/Population!W$33</f>
        <v>0.75493421052631582</v>
      </c>
      <c r="P158" s="82">
        <f>P$18/Population!X$33</f>
        <v>0.75619425173439048</v>
      </c>
      <c r="Q158" s="82">
        <f>Q$18/Population!Y$33</f>
        <v>0.75702746365105011</v>
      </c>
      <c r="R158" s="82">
        <f>R$18/Population!Z$33</f>
        <v>0.75775434243176176</v>
      </c>
      <c r="S158" s="82">
        <f>S$18/Population!AA$33</f>
        <v>0.75867224880382778</v>
      </c>
      <c r="T158" s="82">
        <f>T$18/Population!AB$33</f>
        <v>0.75944394076760346</v>
      </c>
      <c r="U158" s="82">
        <f>U$18/Population!AC$33</f>
        <v>0.76001177856301527</v>
      </c>
      <c r="V158" s="82">
        <f>V$18/Population!AD$33</f>
        <v>0.76082412660495669</v>
      </c>
      <c r="W158" s="82">
        <f>W$18/Population!AE$33</f>
        <v>0.76135675348273768</v>
      </c>
      <c r="X158" s="82">
        <f>X$18/Population!AF$33</f>
        <v>0.76196319018404912</v>
      </c>
      <c r="Y158" s="82">
        <f>Y$18/Population!AG$33</f>
        <v>0.76223555415219446</v>
      </c>
      <c r="Z158" s="82">
        <f>Z$18/Population!AH$33</f>
        <v>0.76289965178854069</v>
      </c>
      <c r="AA158" s="82">
        <f>AA$18/Population!AI$33</f>
        <v>0.76314122862571243</v>
      </c>
      <c r="AB158" s="82">
        <f>AB$18/Population!AJ$33</f>
        <v>0.76349453978159121</v>
      </c>
      <c r="AC158" s="82">
        <f>AC$18/Population!AK$33</f>
        <v>0.76394849785407726</v>
      </c>
      <c r="AD158" s="82">
        <f>AD$18/Population!AL$33</f>
        <v>0.76396015695744035</v>
      </c>
      <c r="AE158" s="82">
        <f>AE$18/Population!AM$33</f>
        <v>0.76460071513706795</v>
      </c>
      <c r="AF158" s="82">
        <f>AF$18/Population!AN$33</f>
        <v>0.76489675516224187</v>
      </c>
      <c r="AG158" s="82">
        <f>AG$18/Population!AO$33</f>
        <v>0.76479203280609254</v>
      </c>
      <c r="AH158" s="82">
        <f>AH$18/Population!AP$33</f>
        <v>0.7651006711409396</v>
      </c>
      <c r="AI158" s="82">
        <f>AI$18/Population!AQ$33</f>
        <v>0.76528829353523586</v>
      </c>
      <c r="AJ158" s="82">
        <f>AJ$18/Population!AR$33</f>
        <v>0.76535662299854434</v>
      </c>
      <c r="AK158" s="82">
        <f>AK$18/Population!AS$33</f>
        <v>0.76552930883639547</v>
      </c>
      <c r="AL158" s="82">
        <f>AL$18/Population!AT$33</f>
        <v>0.76565242832065539</v>
      </c>
      <c r="AM158" s="82">
        <f>AM$18/Population!AU$33</f>
        <v>0.76572604350382123</v>
      </c>
      <c r="AN158" s="82">
        <f>AN$18/Population!AV$33</f>
        <v>0.76559266922849545</v>
      </c>
      <c r="AO158" s="82">
        <f>AO$18/Population!AW$33</f>
        <v>0.76584349895864323</v>
      </c>
      <c r="AP158" s="82">
        <f>AP$18/Population!AX$33</f>
        <v>0.76572798082684246</v>
      </c>
      <c r="AQ158" s="82">
        <f>AQ$18/Population!AY$33</f>
        <v>0.76591251885369538</v>
      </c>
      <c r="AR158" s="82">
        <f>AR$18/Population!AZ$33</f>
        <v>0.76593806921675778</v>
      </c>
      <c r="AS158" s="82">
        <f>AS$18/Population!BA$33</f>
        <v>0.76587301587301593</v>
      </c>
      <c r="AT158" s="82">
        <f>AT$18/Population!BB$33</f>
        <v>0.76609442060085842</v>
      </c>
      <c r="AU158" s="82">
        <f>AU$18/Population!BC$33</f>
        <v>0.76606209652628343</v>
      </c>
      <c r="AV158" s="82">
        <f>AV$18/Population!BD$33</f>
        <v>0.76608187134502925</v>
      </c>
      <c r="AW158" s="82">
        <f>AW$18/Population!BE$33</f>
        <v>0.76584615384615384</v>
      </c>
      <c r="AX158" s="82">
        <f>AX$18/Population!BF$33</f>
        <v>0.76613398893669327</v>
      </c>
      <c r="AY158" s="82">
        <f>AY$18/Population!BG$33</f>
        <v>0.76578786020846101</v>
      </c>
      <c r="AZ158" s="82">
        <f>AZ$18/Population!BH$33</f>
        <v>0.76605504587155959</v>
      </c>
      <c r="BA158" s="82">
        <f>BA$18/Population!BI$33</f>
        <v>0.76615853658536581</v>
      </c>
      <c r="BB158" s="82">
        <f>BB$18/Population!BJ$33</f>
        <v>0.76595744680851063</v>
      </c>
      <c r="BC158" s="82">
        <f>BC$18/Population!BK$33</f>
        <v>0.76606060606060611</v>
      </c>
      <c r="BD158" s="82">
        <f>BD$18/Population!BL$33</f>
        <v>0.76609247506799638</v>
      </c>
    </row>
    <row r="159" spans="1:56" x14ac:dyDescent="0.2">
      <c r="C159" s="28">
        <v>24</v>
      </c>
      <c r="E159" s="82">
        <f>E$19/Population!M$34</f>
        <v>0.75171037628278226</v>
      </c>
      <c r="F159" s="82">
        <f>F$19/Population!N$34</f>
        <v>0.75474956822107087</v>
      </c>
      <c r="G159" s="82">
        <f>G$19/Population!O$34</f>
        <v>0.75779239348012584</v>
      </c>
      <c r="H159" s="82">
        <f>H$19/Population!P$34</f>
        <v>0.76045296167247389</v>
      </c>
      <c r="I159" s="82">
        <f>I$19/Population!Q$34</f>
        <v>0.76307332749050538</v>
      </c>
      <c r="J159" s="82">
        <f>J$19/Population!R$34</f>
        <v>0.7657056145675265</v>
      </c>
      <c r="K159" s="82">
        <f>K$19/Population!S$34</f>
        <v>0.76802014479068303</v>
      </c>
      <c r="L159" s="82">
        <f>L$19/Population!T$34</f>
        <v>0.77022853613341569</v>
      </c>
      <c r="M159" s="82">
        <f>M$19/Population!U$34</f>
        <v>0.77215189873417722</v>
      </c>
      <c r="N159" s="82">
        <f>N$19/Population!V$34</f>
        <v>0.77417218543046362</v>
      </c>
      <c r="O159" s="82">
        <f>O$19/Population!W$34</f>
        <v>0.77580428954423597</v>
      </c>
      <c r="P159" s="82">
        <f>P$19/Population!X$34</f>
        <v>0.77744807121661719</v>
      </c>
      <c r="Q159" s="82">
        <f>Q$19/Population!Y$34</f>
        <v>0.77880794701986755</v>
      </c>
      <c r="R159" s="82">
        <f>R$19/Population!Z$34</f>
        <v>0.78044041450777202</v>
      </c>
      <c r="S159" s="82">
        <f>S$19/Population!AA$34</f>
        <v>0.78171641791044777</v>
      </c>
      <c r="T159" s="82">
        <f>T$19/Population!AB$34</f>
        <v>0.78273898711417444</v>
      </c>
      <c r="U159" s="82">
        <f>U$19/Population!AC$34</f>
        <v>0.78400484701605577</v>
      </c>
      <c r="V159" s="82">
        <f>V$19/Population!AD$34</f>
        <v>0.78512396694214881</v>
      </c>
      <c r="W159" s="82">
        <f>W$19/Population!AE$34</f>
        <v>0.78599221789883267</v>
      </c>
      <c r="X159" s="82">
        <f>X$19/Population!AF$34</f>
        <v>0.78688524590163933</v>
      </c>
      <c r="Y159" s="82">
        <f>Y$19/Population!AG$34</f>
        <v>0.78782287822878228</v>
      </c>
      <c r="Z159" s="82">
        <f>Z$19/Population!AH$34</f>
        <v>0.78822412155745492</v>
      </c>
      <c r="AA159" s="82">
        <f>AA$19/Population!AI$34</f>
        <v>0.78902284263959388</v>
      </c>
      <c r="AB159" s="82">
        <f>AB$19/Population!AJ$34</f>
        <v>0.7892732465883846</v>
      </c>
      <c r="AC159" s="82">
        <f>AC$19/Population!AK$34</f>
        <v>0.7901157335001564</v>
      </c>
      <c r="AD159" s="82">
        <f>AD$19/Population!AL$34</f>
        <v>0.79041180086047946</v>
      </c>
      <c r="AE159" s="82">
        <f>AE$19/Population!AM$34</f>
        <v>0.79092284417549163</v>
      </c>
      <c r="AF159" s="82">
        <f>AF$19/Population!AN$34</f>
        <v>0.79128097939683484</v>
      </c>
      <c r="AG159" s="82">
        <f>AG$19/Population!AO$34</f>
        <v>0.79160508424475318</v>
      </c>
      <c r="AH159" s="82">
        <f>AH$19/Population!AP$34</f>
        <v>0.79183793305930705</v>
      </c>
      <c r="AI159" s="82">
        <f>AI$19/Population!AQ$34</f>
        <v>0.79210526315789476</v>
      </c>
      <c r="AJ159" s="82">
        <f>AJ$19/Population!AR$34</f>
        <v>0.7922381091333528</v>
      </c>
      <c r="AK159" s="82">
        <f>AK$19/Population!AS$34</f>
        <v>0.79252990954187341</v>
      </c>
      <c r="AL159" s="82">
        <f>AL$19/Population!AT$34</f>
        <v>0.79275065770242614</v>
      </c>
      <c r="AM159" s="82">
        <f>AM$19/Population!AU$34</f>
        <v>0.79296187683284458</v>
      </c>
      <c r="AN159" s="82">
        <f>AN$19/Population!AV$34</f>
        <v>0.7929307805596465</v>
      </c>
      <c r="AO159" s="82">
        <f>AO$19/Population!AW$34</f>
        <v>0.79318518518518522</v>
      </c>
      <c r="AP159" s="82">
        <f>AP$19/Population!AX$34</f>
        <v>0.79308288610614197</v>
      </c>
      <c r="AQ159" s="82">
        <f>AQ$19/Population!AY$34</f>
        <v>0.79315520864605227</v>
      </c>
      <c r="AR159" s="82">
        <f>AR$19/Population!AZ$34</f>
        <v>0.79322853688029016</v>
      </c>
      <c r="AS159" s="82">
        <f>AS$19/Population!BA$34</f>
        <v>0.79312442957103746</v>
      </c>
      <c r="AT159" s="82">
        <f>AT$19/Population!BB$34</f>
        <v>0.79320893239522794</v>
      </c>
      <c r="AU159" s="82">
        <f>AU$19/Population!BC$34</f>
        <v>0.79324116743471584</v>
      </c>
      <c r="AV159" s="82">
        <f>AV$19/Population!BD$34</f>
        <v>0.79328404189772028</v>
      </c>
      <c r="AW159" s="82">
        <f>AW$19/Population!BE$34</f>
        <v>0.79333744602097467</v>
      </c>
      <c r="AX159" s="82">
        <f>AX$19/Population!BF$34</f>
        <v>0.79333744602097467</v>
      </c>
      <c r="AY159" s="82">
        <f>AY$19/Population!BG$34</f>
        <v>0.79334770557437639</v>
      </c>
      <c r="AZ159" s="82">
        <f>AZ$19/Population!BH$34</f>
        <v>0.79348494161032579</v>
      </c>
      <c r="BA159" s="82">
        <f>BA$19/Population!BI$34</f>
        <v>0.79344161814281333</v>
      </c>
      <c r="BB159" s="82">
        <f>BB$19/Population!BJ$34</f>
        <v>0.79346165597311336</v>
      </c>
      <c r="BC159" s="82">
        <f>BC$19/Population!BK$34</f>
        <v>0.7931769722814499</v>
      </c>
      <c r="BD159" s="82">
        <f>BD$19/Population!BL$34</f>
        <v>0.79319769207409652</v>
      </c>
    </row>
    <row r="160" spans="1:56" x14ac:dyDescent="0.2">
      <c r="C160" s="28">
        <v>25</v>
      </c>
      <c r="E160" s="82">
        <f>E$20/Population!M$35</f>
        <v>0.75890103728623493</v>
      </c>
      <c r="F160" s="82">
        <f>F$20/Population!N$35</f>
        <v>0.7631288004422333</v>
      </c>
      <c r="G160" s="82">
        <f>G$20/Population!O$35</f>
        <v>0.76713483146067418</v>
      </c>
      <c r="H160" s="82">
        <f>H$20/Population!P$35</f>
        <v>0.77115546809108804</v>
      </c>
      <c r="I160" s="82">
        <f>I$20/Population!Q$35</f>
        <v>0.77471264367816095</v>
      </c>
      <c r="J160" s="82">
        <f>J$20/Population!R$35</f>
        <v>0.77810133954571925</v>
      </c>
      <c r="K160" s="82">
        <f>K$20/Population!S$35</f>
        <v>0.7810042347247429</v>
      </c>
      <c r="L160" s="82">
        <f>L$20/Population!T$35</f>
        <v>0.78419071518193229</v>
      </c>
      <c r="M160" s="82">
        <f>M$20/Population!U$35</f>
        <v>0.7870113881194214</v>
      </c>
      <c r="N160" s="82">
        <f>N$20/Population!V$35</f>
        <v>0.78940731399747788</v>
      </c>
      <c r="O160" s="82">
        <f>O$20/Population!W$35</f>
        <v>0.79181788188716595</v>
      </c>
      <c r="P160" s="82">
        <f>P$20/Population!X$35</f>
        <v>0.79405874499332441</v>
      </c>
      <c r="Q160" s="82">
        <f>Q$20/Population!Y$35</f>
        <v>0.79632063074901449</v>
      </c>
      <c r="R160" s="82">
        <f>R$20/Population!Z$35</f>
        <v>0.79808644011877272</v>
      </c>
      <c r="S160" s="82">
        <f>S$20/Population!AA$35</f>
        <v>0.79993546305259766</v>
      </c>
      <c r="T160" s="82">
        <f>T$20/Population!AB$35</f>
        <v>0.80142503097893436</v>
      </c>
      <c r="U160" s="82">
        <f>U$20/Population!AC$35</f>
        <v>0.80316606929510159</v>
      </c>
      <c r="V160" s="82">
        <f>V$20/Population!AD$35</f>
        <v>0.80410504074856626</v>
      </c>
      <c r="W160" s="82">
        <f>W$20/Population!AE$35</f>
        <v>0.80558823529411761</v>
      </c>
      <c r="X160" s="82">
        <f>X$20/Population!AF$35</f>
        <v>0.80674023262749772</v>
      </c>
      <c r="Y160" s="82">
        <f>Y$20/Population!AG$35</f>
        <v>0.80762250453720508</v>
      </c>
      <c r="Z160" s="82">
        <f>Z$20/Population!AH$35</f>
        <v>0.80882352941176472</v>
      </c>
      <c r="AA160" s="82">
        <f>AA$20/Population!AI$35</f>
        <v>0.80952380952380953</v>
      </c>
      <c r="AB160" s="82">
        <f>AB$20/Population!AJ$35</f>
        <v>0.8106228264306039</v>
      </c>
      <c r="AC160" s="82">
        <f>AC$20/Population!AK$35</f>
        <v>0.81119544592030357</v>
      </c>
      <c r="AD160" s="82">
        <f>AD$20/Population!AL$35</f>
        <v>0.81177937052041138</v>
      </c>
      <c r="AE160" s="82">
        <f>AE$20/Population!AM$35</f>
        <v>0.81230863441518675</v>
      </c>
      <c r="AF160" s="82">
        <f>AF$20/Population!AN$35</f>
        <v>0.81278263491106417</v>
      </c>
      <c r="AG160" s="82">
        <f>AG$20/Population!AO$35</f>
        <v>0.81339285714285714</v>
      </c>
      <c r="AH160" s="82">
        <f>AH$20/Population!AP$35</f>
        <v>0.81354933726067746</v>
      </c>
      <c r="AI160" s="82">
        <f>AI$20/Population!AQ$35</f>
        <v>0.81392627267407835</v>
      </c>
      <c r="AJ160" s="82">
        <f>AJ$20/Population!AR$35</f>
        <v>0.8141025641025641</v>
      </c>
      <c r="AK160" s="82">
        <f>AK$20/Population!AS$35</f>
        <v>0.81448095376562957</v>
      </c>
      <c r="AL160" s="82">
        <f>AL$20/Population!AT$35</f>
        <v>0.8147717359697586</v>
      </c>
      <c r="AM160" s="82">
        <f>AM$20/Population!AU$35</f>
        <v>0.8150305854937373</v>
      </c>
      <c r="AN160" s="82">
        <f>AN$20/Population!AV$35</f>
        <v>0.81502045587375804</v>
      </c>
      <c r="AO160" s="82">
        <f>AO$20/Population!AW$35</f>
        <v>0.81508658643968301</v>
      </c>
      <c r="AP160" s="82">
        <f>AP$20/Population!AX$35</f>
        <v>0.81547091821671092</v>
      </c>
      <c r="AQ160" s="82">
        <f>AQ$20/Population!AY$35</f>
        <v>0.81521093285799173</v>
      </c>
      <c r="AR160" s="82">
        <f>AR$20/Population!AZ$35</f>
        <v>0.81567923399162179</v>
      </c>
      <c r="AS160" s="82">
        <f>AS$20/Population!BA$35</f>
        <v>0.81536144578313252</v>
      </c>
      <c r="AT160" s="82">
        <f>AT$20/Population!BB$35</f>
        <v>0.81539860563807209</v>
      </c>
      <c r="AU160" s="82">
        <f>AU$20/Population!BC$35</f>
        <v>0.81585365853658531</v>
      </c>
      <c r="AV160" s="82">
        <f>AV$20/Population!BD$35</f>
        <v>0.81542699724517909</v>
      </c>
      <c r="AW160" s="82">
        <f>AW$20/Population!BE$35</f>
        <v>0.81553100061387351</v>
      </c>
      <c r="AX160" s="82">
        <f>AX$20/Population!BF$35</f>
        <v>0.81561155500921945</v>
      </c>
      <c r="AY160" s="82">
        <f>AY$20/Population!BG$35</f>
        <v>0.81591886908420408</v>
      </c>
      <c r="AZ160" s="82">
        <f>AZ$20/Population!BH$35</f>
        <v>0.81558760355937399</v>
      </c>
      <c r="BA160" s="82">
        <f>BA$20/Population!BI$35</f>
        <v>0.81567666870789957</v>
      </c>
      <c r="BB160" s="82">
        <f>BB$20/Population!BJ$35</f>
        <v>0.81557251908396944</v>
      </c>
      <c r="BC160" s="82">
        <f>BC$20/Population!BK$35</f>
        <v>0.8155251141552512</v>
      </c>
      <c r="BD160" s="82">
        <f>BD$20/Population!BL$35</f>
        <v>0.81547799696509859</v>
      </c>
    </row>
    <row r="161" spans="3:56" x14ac:dyDescent="0.2">
      <c r="C161" s="28">
        <v>26</v>
      </c>
      <c r="E161" s="82">
        <f>E$21/Population!M$36</f>
        <v>0.76221498371335505</v>
      </c>
      <c r="F161" s="82">
        <f>F$21/Population!N$36</f>
        <v>0.76718283075251292</v>
      </c>
      <c r="G161" s="82">
        <f>G$21/Population!O$36</f>
        <v>0.77169811320754722</v>
      </c>
      <c r="H161" s="82">
        <f>H$21/Population!P$36</f>
        <v>0.77575757575757576</v>
      </c>
      <c r="I161" s="82">
        <f>I$21/Population!Q$36</f>
        <v>0.77981142540210757</v>
      </c>
      <c r="J161" s="82">
        <f>J$21/Population!R$36</f>
        <v>0.78357570573139435</v>
      </c>
      <c r="K161" s="82">
        <f>K$21/Population!S$36</f>
        <v>0.78705576422999135</v>
      </c>
      <c r="L161" s="82">
        <f>L$21/Population!T$36</f>
        <v>0.79027902790279025</v>
      </c>
      <c r="M161" s="82">
        <f>M$21/Population!U$36</f>
        <v>0.79346811819595642</v>
      </c>
      <c r="N161" s="82">
        <f>N$21/Population!V$36</f>
        <v>0.79639804639804634</v>
      </c>
      <c r="O161" s="82">
        <f>O$21/Population!W$36</f>
        <v>0.79893683552220141</v>
      </c>
      <c r="P161" s="82">
        <f>P$21/Population!X$36</f>
        <v>0.80150425114453894</v>
      </c>
      <c r="Q161" s="82">
        <f>Q$21/Population!Y$36</f>
        <v>0.80350645054581538</v>
      </c>
      <c r="R161" s="82">
        <f>R$21/Population!Z$36</f>
        <v>0.8059264083360469</v>
      </c>
      <c r="S161" s="82">
        <f>S$21/Population!AA$36</f>
        <v>0.80771746239372144</v>
      </c>
      <c r="T161" s="82">
        <f>T$21/Population!AB$36</f>
        <v>0.80966090850927708</v>
      </c>
      <c r="U161" s="82">
        <f>U$21/Population!AC$36</f>
        <v>0.81105990783410142</v>
      </c>
      <c r="V161" s="82">
        <f>V$21/Population!AD$36</f>
        <v>0.81274074074074076</v>
      </c>
      <c r="W161" s="82">
        <f>W$21/Population!AE$36</f>
        <v>0.81431566337226713</v>
      </c>
      <c r="X161" s="82">
        <f>X$21/Population!AF$36</f>
        <v>0.81558214181499855</v>
      </c>
      <c r="Y161" s="82">
        <f>Y$21/Population!AG$36</f>
        <v>0.81656804733727806</v>
      </c>
      <c r="Z161" s="82">
        <f>Z$21/Population!AH$36</f>
        <v>0.81758175817581757</v>
      </c>
      <c r="AA161" s="82">
        <f>AA$21/Population!AI$36</f>
        <v>0.81859617137648133</v>
      </c>
      <c r="AB161" s="82">
        <f>AB$21/Population!AJ$36</f>
        <v>0.8195747342088805</v>
      </c>
      <c r="AC161" s="82">
        <f>AC$21/Population!AK$36</f>
        <v>0.82011908492635532</v>
      </c>
      <c r="AD161" s="82">
        <f>AD$21/Population!AL$36</f>
        <v>0.82126058325493889</v>
      </c>
      <c r="AE161" s="82">
        <f>AE$21/Population!AM$36</f>
        <v>0.82169344870210137</v>
      </c>
      <c r="AF161" s="82">
        <f>AF$21/Population!AN$36</f>
        <v>0.82204676586699055</v>
      </c>
      <c r="AG161" s="82">
        <f>AG$21/Population!AO$36</f>
        <v>0.82266746411483249</v>
      </c>
      <c r="AH161" s="82">
        <f>AH$21/Population!AP$36</f>
        <v>0.82314732801889579</v>
      </c>
      <c r="AI161" s="82">
        <f>AI$21/Population!AQ$36</f>
        <v>0.82349503214494446</v>
      </c>
      <c r="AJ161" s="82">
        <f>AJ$21/Population!AR$36</f>
        <v>0.82380261248185771</v>
      </c>
      <c r="AK161" s="82">
        <f>AK$21/Population!AS$36</f>
        <v>0.82393755420641801</v>
      </c>
      <c r="AL161" s="82">
        <f>AL$21/Population!AT$36</f>
        <v>0.82429313329486442</v>
      </c>
      <c r="AM161" s="82">
        <f>AM$21/Population!AU$36</f>
        <v>0.82458165031736874</v>
      </c>
      <c r="AN161" s="82">
        <f>AN$21/Population!AV$36</f>
        <v>0.82485549132947977</v>
      </c>
      <c r="AO161" s="82">
        <f>AO$21/Population!AW$36</f>
        <v>0.82487677587706587</v>
      </c>
      <c r="AP161" s="82">
        <f>AP$21/Population!AX$36</f>
        <v>0.82498543972044258</v>
      </c>
      <c r="AQ161" s="82">
        <f>AQ$21/Population!AY$36</f>
        <v>0.8248901903367496</v>
      </c>
      <c r="AR161" s="82">
        <f>AR$21/Population!AZ$36</f>
        <v>0.82493368700265257</v>
      </c>
      <c r="AS161" s="82">
        <f>AS$21/Population!BA$36</f>
        <v>0.82522255192878335</v>
      </c>
      <c r="AT161" s="82">
        <f>AT$21/Population!BB$36</f>
        <v>0.82521661189124584</v>
      </c>
      <c r="AU161" s="82">
        <f>AU$21/Population!BC$36</f>
        <v>0.8253156945279615</v>
      </c>
      <c r="AV161" s="82">
        <f>AV$21/Population!BD$36</f>
        <v>0.82527206771463124</v>
      </c>
      <c r="AW161" s="82">
        <f>AW$21/Population!BE$36</f>
        <v>0.82513661202185795</v>
      </c>
      <c r="AX161" s="82">
        <f>AX$21/Population!BF$36</f>
        <v>0.82526636225266359</v>
      </c>
      <c r="AY161" s="82">
        <f>AY$21/Population!BG$36</f>
        <v>0.82535812252362084</v>
      </c>
      <c r="AZ161" s="82">
        <f>AZ$21/Population!BH$36</f>
        <v>0.82510664229128583</v>
      </c>
      <c r="BA161" s="82">
        <f>BA$21/Population!BI$36</f>
        <v>0.82531953743152764</v>
      </c>
      <c r="BB161" s="82">
        <f>BB$21/Population!BJ$36</f>
        <v>0.82513661202185795</v>
      </c>
      <c r="BC161" s="82">
        <f>BC$21/Population!BK$36</f>
        <v>0.82525741974560873</v>
      </c>
      <c r="BD161" s="82">
        <f>BD$21/Population!BL$36</f>
        <v>0.82548309178743962</v>
      </c>
    </row>
    <row r="162" spans="3:56" x14ac:dyDescent="0.2">
      <c r="C162" s="28">
        <v>27</v>
      </c>
      <c r="E162" s="82">
        <f>E$22/Population!M$37</f>
        <v>0.75973303670745274</v>
      </c>
      <c r="F162" s="82">
        <f>F$22/Population!N$37</f>
        <v>0.76462836056931993</v>
      </c>
      <c r="G162" s="82">
        <f>G$22/Population!O$37</f>
        <v>0.76914921812880999</v>
      </c>
      <c r="H162" s="82">
        <f>H$22/Population!P$37</f>
        <v>0.77346021675918586</v>
      </c>
      <c r="I162" s="82">
        <f>I$22/Population!Q$37</f>
        <v>0.77741585233441912</v>
      </c>
      <c r="J162" s="82">
        <f>J$22/Population!R$37</f>
        <v>0.78110409228234001</v>
      </c>
      <c r="K162" s="82">
        <f>K$22/Population!S$37</f>
        <v>0.78458498023715417</v>
      </c>
      <c r="L162" s="82">
        <f>L$22/Population!T$37</f>
        <v>0.78781812982556476</v>
      </c>
      <c r="M162" s="82">
        <f>M$22/Population!U$37</f>
        <v>0.79097387173396672</v>
      </c>
      <c r="N162" s="82">
        <f>N$22/Population!V$37</f>
        <v>0.79384615384615387</v>
      </c>
      <c r="O162" s="82">
        <f>O$22/Population!W$37</f>
        <v>0.79649758454106279</v>
      </c>
      <c r="P162" s="82">
        <f>P$22/Population!X$37</f>
        <v>0.79901051329622763</v>
      </c>
      <c r="Q162" s="82">
        <f>Q$22/Population!Y$37</f>
        <v>0.8012281835811248</v>
      </c>
      <c r="R162" s="82">
        <f>R$22/Population!Z$37</f>
        <v>0.80320366132723109</v>
      </c>
      <c r="S162" s="82">
        <f>S$22/Population!AA$37</f>
        <v>0.80527840360476344</v>
      </c>
      <c r="T162" s="82">
        <f>T$22/Population!AB$37</f>
        <v>0.80704589528118942</v>
      </c>
      <c r="U162" s="82">
        <f>U$22/Population!AC$37</f>
        <v>0.80898165717900061</v>
      </c>
      <c r="V162" s="82">
        <f>V$22/Population!AD$37</f>
        <v>0.81033434650455927</v>
      </c>
      <c r="W162" s="82">
        <f>W$22/Population!AE$37</f>
        <v>0.81178540017590151</v>
      </c>
      <c r="X162" s="82">
        <f>X$22/Population!AF$37</f>
        <v>0.813037037037037</v>
      </c>
      <c r="Y162" s="82">
        <f>Y$22/Population!AG$37</f>
        <v>0.81432284146693623</v>
      </c>
      <c r="Z162" s="82">
        <f>Z$22/Population!AH$37</f>
        <v>0.81528103044496492</v>
      </c>
      <c r="AA162" s="82">
        <f>AA$22/Population!AI$37</f>
        <v>0.8165083135391924</v>
      </c>
      <c r="AB162" s="82">
        <f>AB$22/Population!AJ$37</f>
        <v>0.81725278028253678</v>
      </c>
      <c r="AC162" s="82">
        <f>AC$22/Population!AK$37</f>
        <v>0.81787260358688929</v>
      </c>
      <c r="AD162" s="82">
        <f>AD$22/Population!AL$37</f>
        <v>0.81866088034717921</v>
      </c>
      <c r="AE162" s="82">
        <f>AE$22/Population!AM$37</f>
        <v>0.81922480620155036</v>
      </c>
      <c r="AF162" s="82">
        <f>AF$22/Population!AN$37</f>
        <v>0.81968215158924207</v>
      </c>
      <c r="AG162" s="82">
        <f>AG$22/Population!AO$37</f>
        <v>0.82036647641934513</v>
      </c>
      <c r="AH162" s="82">
        <f>AH$22/Population!AP$37</f>
        <v>0.82071005917159767</v>
      </c>
      <c r="AI162" s="82">
        <f>AI$22/Population!AQ$37</f>
        <v>0.82120946538124451</v>
      </c>
      <c r="AJ162" s="82">
        <f>AJ$22/Population!AR$37</f>
        <v>0.82128397917871598</v>
      </c>
      <c r="AK162" s="82">
        <f>AK$22/Population!AS$37</f>
        <v>0.82160298764722783</v>
      </c>
      <c r="AL162" s="82">
        <f>AL$22/Population!AT$37</f>
        <v>0.82174535050071529</v>
      </c>
      <c r="AM162" s="82">
        <f>AM$22/Population!AU$37</f>
        <v>0.82210165619645914</v>
      </c>
      <c r="AN162" s="82">
        <f>AN$22/Population!AV$37</f>
        <v>0.8223872073101085</v>
      </c>
      <c r="AO162" s="82">
        <f>AO$22/Population!AW$37</f>
        <v>0.82265446224256289</v>
      </c>
      <c r="AP162" s="82">
        <f>AP$22/Population!AX$37</f>
        <v>0.82266857962697271</v>
      </c>
      <c r="AQ162" s="82">
        <f>AQ$22/Population!AY$37</f>
        <v>0.82247838616714697</v>
      </c>
      <c r="AR162" s="82">
        <f>AR$22/Population!AZ$37</f>
        <v>0.82266009852216748</v>
      </c>
      <c r="AS162" s="82">
        <f>AS$22/Population!BA$37</f>
        <v>0.82268883056284636</v>
      </c>
      <c r="AT162" s="82">
        <f>AT$22/Population!BB$37</f>
        <v>0.82266588373458605</v>
      </c>
      <c r="AU162" s="82">
        <f>AU$22/Population!BC$37</f>
        <v>0.8229382205143364</v>
      </c>
      <c r="AV162" s="82">
        <f>AV$22/Population!BD$37</f>
        <v>0.82272456870910171</v>
      </c>
      <c r="AW162" s="82">
        <f>AW$22/Population!BE$37</f>
        <v>0.82296650717703346</v>
      </c>
      <c r="AX162" s="82">
        <f>AX$22/Population!BF$37</f>
        <v>0.82282282282282282</v>
      </c>
      <c r="AY162" s="82">
        <f>AY$22/Population!BG$37</f>
        <v>0.82294489611562782</v>
      </c>
      <c r="AZ162" s="82">
        <f>AZ$22/Population!BH$37</f>
        <v>0.82303286101899309</v>
      </c>
      <c r="BA162" s="82">
        <f>BA$22/Population!BI$37</f>
        <v>0.82278481012658233</v>
      </c>
      <c r="BB162" s="82">
        <f>BB$22/Population!BJ$37</f>
        <v>0.82299819385912099</v>
      </c>
      <c r="BC162" s="82">
        <f>BC$22/Population!BK$37</f>
        <v>0.82282282282282282</v>
      </c>
      <c r="BD162" s="82">
        <f>BD$22/Population!BL$37</f>
        <v>0.822701407607068</v>
      </c>
    </row>
    <row r="163" spans="3:56" x14ac:dyDescent="0.2">
      <c r="C163" s="28">
        <v>28</v>
      </c>
      <c r="E163" s="82">
        <f>E$23/Population!M$38</f>
        <v>0.7579617834394905</v>
      </c>
      <c r="F163" s="82">
        <f>F$23/Population!N$38</f>
        <v>0.76289495004050767</v>
      </c>
      <c r="G163" s="82">
        <f>G$23/Population!O$38</f>
        <v>0.76756756756756761</v>
      </c>
      <c r="H163" s="82">
        <f>H$23/Population!P$38</f>
        <v>0.7718295218295218</v>
      </c>
      <c r="I163" s="82">
        <f>I$23/Population!Q$38</f>
        <v>0.77589796980739201</v>
      </c>
      <c r="J163" s="82">
        <f>J$23/Population!R$38</f>
        <v>0.77971558894553261</v>
      </c>
      <c r="K163" s="82">
        <f>K$23/Population!S$38</f>
        <v>0.78317503392130261</v>
      </c>
      <c r="L163" s="82">
        <f>L$23/Population!T$38</f>
        <v>0.78667038482989404</v>
      </c>
      <c r="M163" s="82">
        <f>M$23/Population!U$38</f>
        <v>0.78983050847457625</v>
      </c>
      <c r="N163" s="82">
        <f>N$23/Population!V$38</f>
        <v>0.79279015240328254</v>
      </c>
      <c r="O163" s="82">
        <f>O$23/Population!W$38</f>
        <v>0.79538554948391016</v>
      </c>
      <c r="P163" s="82">
        <f>P$23/Population!X$38</f>
        <v>0.79791356184798812</v>
      </c>
      <c r="Q163" s="82">
        <f>Q$23/Population!Y$38</f>
        <v>0.80042722001830946</v>
      </c>
      <c r="R163" s="82">
        <f>R$23/Population!Z$38</f>
        <v>0.80242192479286167</v>
      </c>
      <c r="S163" s="82">
        <f>S$23/Population!AA$38</f>
        <v>0.80464216634429397</v>
      </c>
      <c r="T163" s="82">
        <f>T$23/Population!AB$38</f>
        <v>0.80634920634920637</v>
      </c>
      <c r="U163" s="82">
        <f>U$23/Population!AC$38</f>
        <v>0.80783938814531553</v>
      </c>
      <c r="V163" s="82">
        <f>V$23/Population!AD$38</f>
        <v>0.80967238689547583</v>
      </c>
      <c r="W163" s="82">
        <f>W$23/Population!AE$38</f>
        <v>0.81103779244151175</v>
      </c>
      <c r="X163" s="82">
        <f>X$23/Population!AF$38</f>
        <v>0.81215629522431254</v>
      </c>
      <c r="Y163" s="82">
        <f>Y$23/Population!AG$38</f>
        <v>0.81339572974553964</v>
      </c>
      <c r="Z163" s="82">
        <f>Z$23/Population!AH$38</f>
        <v>0.81460353679406727</v>
      </c>
      <c r="AA163" s="82">
        <f>AA$23/Population!AI$38</f>
        <v>0.81584272911246025</v>
      </c>
      <c r="AB163" s="82">
        <f>AB$23/Population!AJ$38</f>
        <v>0.81652989449003521</v>
      </c>
      <c r="AC163" s="82">
        <f>AC$23/Population!AK$38</f>
        <v>0.8172649065559181</v>
      </c>
      <c r="AD163" s="82">
        <f>AD$23/Population!AL$38</f>
        <v>0.81812633506255716</v>
      </c>
      <c r="AE163" s="82">
        <f>AE$23/Population!AM$38</f>
        <v>0.81865443425076456</v>
      </c>
      <c r="AF163" s="82">
        <f>AF$23/Population!AN$38</f>
        <v>0.81921076781890489</v>
      </c>
      <c r="AG163" s="82">
        <f>AG$23/Population!AO$38</f>
        <v>0.81966224366706875</v>
      </c>
      <c r="AH163" s="82">
        <f>AH$23/Population!AP$38</f>
        <v>0.82028469750889677</v>
      </c>
      <c r="AI163" s="82">
        <f>AI$23/Population!AQ$38</f>
        <v>0.82038551401869164</v>
      </c>
      <c r="AJ163" s="82">
        <f>AJ$23/Population!AR$38</f>
        <v>0.82088260744159214</v>
      </c>
      <c r="AK163" s="82">
        <f>AK$23/Population!AS$38</f>
        <v>0.8211939445872608</v>
      </c>
      <c r="AL163" s="82">
        <f>AL$23/Population!AT$38</f>
        <v>0.82127659574468082</v>
      </c>
      <c r="AM163" s="82">
        <f>AM$23/Population!AU$38</f>
        <v>0.82165065008479365</v>
      </c>
      <c r="AN163" s="82">
        <f>AN$23/Population!AV$38</f>
        <v>0.82177100958826843</v>
      </c>
      <c r="AO163" s="82">
        <f>AO$23/Population!AW$38</f>
        <v>0.82177100958826843</v>
      </c>
      <c r="AP163" s="82">
        <f>AP$23/Population!AX$38</f>
        <v>0.82203389830508478</v>
      </c>
      <c r="AQ163" s="82">
        <f>AQ$23/Population!AY$38</f>
        <v>0.82204590535562483</v>
      </c>
      <c r="AR163" s="82">
        <f>AR$23/Population!AZ$38</f>
        <v>0.82237403928266439</v>
      </c>
      <c r="AS163" s="82">
        <f>AS$23/Population!BA$38</f>
        <v>0.82226674298797942</v>
      </c>
      <c r="AT163" s="82">
        <f>AT$23/Population!BB$38</f>
        <v>0.82205585948747484</v>
      </c>
      <c r="AU163" s="82">
        <f>AU$23/Population!BC$38</f>
        <v>0.82255726297477527</v>
      </c>
      <c r="AV163" s="82">
        <f>AV$23/Population!BD$38</f>
        <v>0.8222935512109717</v>
      </c>
      <c r="AW163" s="82">
        <f>AW$23/Population!BE$38</f>
        <v>0.82237228420434527</v>
      </c>
      <c r="AX163" s="82">
        <f>AX$23/Population!BF$38</f>
        <v>0.8223140495867769</v>
      </c>
      <c r="AY163" s="82">
        <f>AY$23/Population!BG$38</f>
        <v>0.82216953171310014</v>
      </c>
      <c r="AZ163" s="82">
        <f>AZ$23/Population!BH$38</f>
        <v>0.82228826151560175</v>
      </c>
      <c r="BA163" s="82">
        <f>BA$23/Population!BI$38</f>
        <v>0.82237429336506995</v>
      </c>
      <c r="BB163" s="82">
        <f>BB$23/Population!BJ$38</f>
        <v>0.8224271267102915</v>
      </c>
      <c r="BC163" s="82">
        <f>BC$23/Population!BK$38</f>
        <v>0.82234105763517529</v>
      </c>
      <c r="BD163" s="82">
        <f>BD$23/Population!BL$38</f>
        <v>0.82216953171310014</v>
      </c>
    </row>
    <row r="164" spans="3:56" x14ac:dyDescent="0.2">
      <c r="C164" s="28">
        <v>29</v>
      </c>
      <c r="E164" s="82">
        <f>E$24/Population!M$39</f>
        <v>0.75618992135158758</v>
      </c>
      <c r="F164" s="82">
        <f>F$24/Population!N$39</f>
        <v>0.76159685127916787</v>
      </c>
      <c r="G164" s="82">
        <f>G$24/Population!O$39</f>
        <v>0.76614816767730032</v>
      </c>
      <c r="H164" s="82">
        <f>H$24/Population!P$39</f>
        <v>0.77057041898031298</v>
      </c>
      <c r="I164" s="82">
        <f>I$24/Population!Q$39</f>
        <v>0.77473791869087194</v>
      </c>
      <c r="J164" s="82">
        <f>J$24/Population!R$39</f>
        <v>0.77877697841726623</v>
      </c>
      <c r="K164" s="82">
        <f>K$24/Population!S$39</f>
        <v>0.78236695790309774</v>
      </c>
      <c r="L164" s="82">
        <f>L$24/Population!T$39</f>
        <v>0.78602035350830213</v>
      </c>
      <c r="M164" s="82">
        <f>M$24/Population!U$39</f>
        <v>0.78899587345254474</v>
      </c>
      <c r="N164" s="82">
        <f>N$24/Population!V$39</f>
        <v>0.79214265812203954</v>
      </c>
      <c r="O164" s="82">
        <f>O$24/Population!W$39</f>
        <v>0.7951459115862467</v>
      </c>
      <c r="P164" s="82">
        <f>P$24/Population!X$39</f>
        <v>0.79754784688995217</v>
      </c>
      <c r="Q164" s="82">
        <f>Q$24/Population!Y$39</f>
        <v>0.8</v>
      </c>
      <c r="R164" s="82">
        <f>R$24/Population!Z$39</f>
        <v>0.80222422602945598</v>
      </c>
      <c r="S164" s="82">
        <f>S$24/Population!AA$39</f>
        <v>0.80420458111076243</v>
      </c>
      <c r="T164" s="82">
        <f>T$24/Population!AB$39</f>
        <v>0.80615482233502533</v>
      </c>
      <c r="U164" s="82">
        <f>U$24/Population!AC$39</f>
        <v>0.80781250000000004</v>
      </c>
      <c r="V164" s="82">
        <f>V$24/Population!AD$39</f>
        <v>0.80953875117665519</v>
      </c>
      <c r="W164" s="82">
        <f>W$24/Population!AE$39</f>
        <v>0.81105990783410142</v>
      </c>
      <c r="X164" s="82">
        <f>X$24/Population!AF$39</f>
        <v>0.81235224586288413</v>
      </c>
      <c r="Y164" s="82">
        <f>Y$24/Population!AG$39</f>
        <v>0.81364155251141557</v>
      </c>
      <c r="Z164" s="82">
        <f>Z$24/Population!AH$39</f>
        <v>0.81464398962236961</v>
      </c>
      <c r="AA164" s="82">
        <f>AA$24/Population!AI$39</f>
        <v>0.81580427446569181</v>
      </c>
      <c r="AB164" s="82">
        <f>AB$24/Population!AJ$39</f>
        <v>0.81675691080079793</v>
      </c>
      <c r="AC164" s="82">
        <f>AC$24/Population!AK$39</f>
        <v>0.81744656268053151</v>
      </c>
      <c r="AD164" s="82">
        <f>AD$24/Population!AL$39</f>
        <v>0.81812865497076026</v>
      </c>
      <c r="AE164" s="82">
        <f>AE$24/Population!AM$39</f>
        <v>0.81875563570784493</v>
      </c>
      <c r="AF164" s="82">
        <f>AF$24/Population!AN$39</f>
        <v>0.81927710843373491</v>
      </c>
      <c r="AG164" s="82">
        <f>AG$24/Population!AO$39</f>
        <v>0.81982524856884609</v>
      </c>
      <c r="AH164" s="82">
        <f>AH$24/Population!AP$39</f>
        <v>0.82050520059435361</v>
      </c>
      <c r="AI164" s="82">
        <f>AI$24/Population!AQ$39</f>
        <v>0.82086499123319701</v>
      </c>
      <c r="AJ164" s="82">
        <f>AJ$24/Population!AR$39</f>
        <v>0.82119205298013243</v>
      </c>
      <c r="AK164" s="82">
        <f>AK$24/Population!AS$39</f>
        <v>0.82143872618709124</v>
      </c>
      <c r="AL164" s="82">
        <f>AL$24/Population!AT$39</f>
        <v>0.82174035482962549</v>
      </c>
      <c r="AM164" s="82">
        <f>AM$24/Population!AU$39</f>
        <v>0.82204812534974814</v>
      </c>
      <c r="AN164" s="82">
        <f>AN$24/Population!AV$39</f>
        <v>0.82218506131549607</v>
      </c>
      <c r="AO164" s="82">
        <f>AO$24/Population!AW$39</f>
        <v>0.82225312934631434</v>
      </c>
      <c r="AP164" s="82">
        <f>AP$24/Population!AX$39</f>
        <v>0.8223025583982202</v>
      </c>
      <c r="AQ164" s="82">
        <f>AQ$24/Population!AY$39</f>
        <v>0.82228412256267414</v>
      </c>
      <c r="AR164" s="82">
        <f>AR$24/Population!AZ$39</f>
        <v>0.82257613858619727</v>
      </c>
      <c r="AS164" s="82">
        <f>AS$24/Population!BA$39</f>
        <v>0.82262138647207406</v>
      </c>
      <c r="AT164" s="82">
        <f>AT$24/Population!BB$39</f>
        <v>0.82251693002257331</v>
      </c>
      <c r="AU164" s="82">
        <f>AU$24/Population!BC$39</f>
        <v>0.82259437978995176</v>
      </c>
      <c r="AV164" s="82">
        <f>AV$24/Population!BD$39</f>
        <v>0.82280651614747069</v>
      </c>
      <c r="AW164" s="82">
        <f>AW$24/Population!BE$39</f>
        <v>0.82254817371297095</v>
      </c>
      <c r="AX164" s="82">
        <f>AX$24/Population!BF$39</f>
        <v>0.82262731481481477</v>
      </c>
      <c r="AY164" s="82">
        <f>AY$24/Population!BG$39</f>
        <v>0.82257126236183831</v>
      </c>
      <c r="AZ164" s="82">
        <f>AZ$24/Population!BH$39</f>
        <v>0.8227219626168224</v>
      </c>
      <c r="BA164" s="82">
        <f>BA$24/Population!BI$39</f>
        <v>0.82254758418740848</v>
      </c>
      <c r="BB164" s="82">
        <f>BB$24/Population!BJ$39</f>
        <v>0.82263265904426852</v>
      </c>
      <c r="BC164" s="82">
        <f>BC$24/Population!BK$39</f>
        <v>0.82268464243845252</v>
      </c>
      <c r="BD164" s="82">
        <f>BD$24/Population!BL$39</f>
        <v>0.82289227166276346</v>
      </c>
    </row>
    <row r="165" spans="3:56" x14ac:dyDescent="0.2">
      <c r="C165" s="28">
        <v>30</v>
      </c>
      <c r="E165" s="82">
        <f>E$25/Population!M$40</f>
        <v>0.75251141552511414</v>
      </c>
      <c r="F165" s="82">
        <f>F$25/Population!N$40</f>
        <v>0.75744680851063828</v>
      </c>
      <c r="G165" s="82">
        <f>G$25/Population!O$40</f>
        <v>0.76195711929631671</v>
      </c>
      <c r="H165" s="82">
        <f>H$25/Population!P$40</f>
        <v>0.76664076664076664</v>
      </c>
      <c r="I165" s="82">
        <f>I$25/Population!Q$40</f>
        <v>0.77078148332503738</v>
      </c>
      <c r="J165" s="82">
        <f>J$25/Population!R$40</f>
        <v>0.77451971688574317</v>
      </c>
      <c r="K165" s="82">
        <f>K$25/Population!S$40</f>
        <v>0.77820121951219512</v>
      </c>
      <c r="L165" s="82">
        <f>L$25/Population!T$40</f>
        <v>0.78173253075111226</v>
      </c>
      <c r="M165" s="82">
        <f>M$25/Population!U$40</f>
        <v>0.78486372056099496</v>
      </c>
      <c r="N165" s="82">
        <f>N$25/Population!V$40</f>
        <v>0.78777173913043474</v>
      </c>
      <c r="O165" s="82">
        <f>O$25/Population!W$40</f>
        <v>0.79058888277380301</v>
      </c>
      <c r="P165" s="82">
        <f>P$25/Population!X$40</f>
        <v>0.79321163719338272</v>
      </c>
      <c r="Q165" s="82">
        <f>Q$25/Population!Y$40</f>
        <v>0.79574970484061391</v>
      </c>
      <c r="R165" s="82">
        <f>R$25/Population!Z$40</f>
        <v>0.79768115942028983</v>
      </c>
      <c r="S165" s="82">
        <f>S$25/Population!AA$40</f>
        <v>0.79982206405693945</v>
      </c>
      <c r="T165" s="82">
        <f>T$25/Population!AB$40</f>
        <v>0.80167079207920788</v>
      </c>
      <c r="U165" s="82">
        <f>U$25/Population!AC$40</f>
        <v>0.8032530497341257</v>
      </c>
      <c r="V165" s="82">
        <f>V$25/Population!AD$40</f>
        <v>0.80493066255778123</v>
      </c>
      <c r="W165" s="82">
        <f>W$25/Population!AE$40</f>
        <v>0.80662128712871284</v>
      </c>
      <c r="X165" s="82">
        <f>X$25/Population!AF$40</f>
        <v>0.80787878787878786</v>
      </c>
      <c r="Y165" s="82">
        <f>Y$25/Population!AG$40</f>
        <v>0.80921820303383896</v>
      </c>
      <c r="Z165" s="82">
        <f>Z$25/Population!AH$40</f>
        <v>0.81008734854888698</v>
      </c>
      <c r="AA165" s="82">
        <f>AA$25/Population!AI$40</f>
        <v>0.8112724167378309</v>
      </c>
      <c r="AB165" s="82">
        <f>AB$25/Population!AJ$40</f>
        <v>0.81199666759233546</v>
      </c>
      <c r="AC165" s="82">
        <f>AC$25/Population!AK$40</f>
        <v>0.81288688801350595</v>
      </c>
      <c r="AD165" s="82">
        <f>AD$25/Population!AL$40</f>
        <v>0.8135158254918734</v>
      </c>
      <c r="AE165" s="82">
        <f>AE$25/Population!AM$40</f>
        <v>0.81443001443001439</v>
      </c>
      <c r="AF165" s="82">
        <f>AF$25/Population!AN$40</f>
        <v>0.81494661921708189</v>
      </c>
      <c r="AG165" s="82">
        <f>AG$25/Population!AO$40</f>
        <v>0.81545319465081723</v>
      </c>
      <c r="AH165" s="82">
        <f>AH$25/Population!AP$40</f>
        <v>0.81569560047562428</v>
      </c>
      <c r="AI165" s="82">
        <f>AI$25/Population!AQ$40</f>
        <v>0.81642228739002931</v>
      </c>
      <c r="AJ165" s="82">
        <f>AJ$25/Population!AR$40</f>
        <v>0.81655610037496396</v>
      </c>
      <c r="AK165" s="82">
        <f>AK$25/Population!AS$40</f>
        <v>0.81694144400227398</v>
      </c>
      <c r="AL165" s="82">
        <f>AL$25/Population!AT$40</f>
        <v>0.81695676586187538</v>
      </c>
      <c r="AM165" s="82">
        <f>AM$25/Population!AU$40</f>
        <v>0.81729699666295885</v>
      </c>
      <c r="AN165" s="82">
        <f>AN$25/Population!AV$40</f>
        <v>0.81762917933130697</v>
      </c>
      <c r="AO165" s="82">
        <f>AO$25/Population!AW$40</f>
        <v>0.81778144783925133</v>
      </c>
      <c r="AP165" s="82">
        <f>AP$25/Population!AX$40</f>
        <v>0.81785714285714284</v>
      </c>
      <c r="AQ165" s="82">
        <f>AQ$25/Population!AY$40</f>
        <v>0.81790716836034061</v>
      </c>
      <c r="AR165" s="82">
        <f>AR$25/Population!AZ$40</f>
        <v>0.81788170563961482</v>
      </c>
      <c r="AS165" s="82">
        <f>AS$25/Population!BA$40</f>
        <v>0.81788079470198671</v>
      </c>
      <c r="AT165" s="82">
        <f>AT$25/Population!BB$40</f>
        <v>0.81818181818181823</v>
      </c>
      <c r="AU165" s="82">
        <f>AU$25/Population!BC$40</f>
        <v>0.81805516857063254</v>
      </c>
      <c r="AV165" s="82">
        <f>AV$25/Population!BD$40</f>
        <v>0.81810538116591924</v>
      </c>
      <c r="AW165" s="82">
        <f>AW$25/Population!BE$40</f>
        <v>0.81828442437923254</v>
      </c>
      <c r="AX165" s="82">
        <f>AX$25/Population!BF$40</f>
        <v>0.81800113571834188</v>
      </c>
      <c r="AY165" s="82">
        <f>AY$25/Population!BG$40</f>
        <v>0.81805198514710087</v>
      </c>
      <c r="AZ165" s="82">
        <f>AZ$25/Population!BH$40</f>
        <v>0.81797301177146142</v>
      </c>
      <c r="BA165" s="82">
        <f>BA$25/Population!BI$40</f>
        <v>0.81810319976938595</v>
      </c>
      <c r="BB165" s="82">
        <f>BB$25/Population!BJ$40</f>
        <v>0.81820809248554915</v>
      </c>
      <c r="BC165" s="82">
        <f>BC$25/Population!BK$40</f>
        <v>0.81828703703703709</v>
      </c>
      <c r="BD165" s="82">
        <f>BD$25/Population!BL$40</f>
        <v>0.81805033265837435</v>
      </c>
    </row>
    <row r="166" spans="3:56" x14ac:dyDescent="0.2">
      <c r="C166" s="28">
        <v>31</v>
      </c>
      <c r="E166" s="82">
        <f>E$26/Population!M$41</f>
        <v>0.75030978934324655</v>
      </c>
      <c r="F166" s="82">
        <f>F$26/Population!N$41</f>
        <v>0.75504750593824232</v>
      </c>
      <c r="G166" s="82">
        <f>G$26/Population!O$41</f>
        <v>0.75973303670745274</v>
      </c>
      <c r="H166" s="82">
        <f>H$26/Population!P$41</f>
        <v>0.76440357046253715</v>
      </c>
      <c r="I166" s="82">
        <f>I$26/Population!Q$41</f>
        <v>0.76848298797646453</v>
      </c>
      <c r="J166" s="82">
        <f>J$26/Population!R$41</f>
        <v>0.77232363098174639</v>
      </c>
      <c r="K166" s="82">
        <f>K$26/Population!S$41</f>
        <v>0.77580160320641278</v>
      </c>
      <c r="L166" s="82">
        <f>L$26/Population!T$41</f>
        <v>0.77920443101711989</v>
      </c>
      <c r="M166" s="82">
        <f>M$26/Population!U$41</f>
        <v>0.78227060653188185</v>
      </c>
      <c r="N166" s="82">
        <f>N$26/Population!V$41</f>
        <v>0.78532110091743124</v>
      </c>
      <c r="O166" s="82">
        <f>O$26/Population!W$41</f>
        <v>0.78821313240043056</v>
      </c>
      <c r="P166" s="82">
        <f>P$26/Population!X$41</f>
        <v>0.7907356948228883</v>
      </c>
      <c r="Q166" s="82">
        <f>Q$26/Population!Y$41</f>
        <v>0.79305477131564084</v>
      </c>
      <c r="R166" s="82">
        <f>R$26/Population!Z$41</f>
        <v>0.79532846715328465</v>
      </c>
      <c r="S166" s="82">
        <f>S$26/Population!AA$41</f>
        <v>0.79747561675272516</v>
      </c>
      <c r="T166" s="82">
        <f>T$26/Population!AB$41</f>
        <v>0.79929577464788737</v>
      </c>
      <c r="U166" s="82">
        <f>U$26/Population!AC$41</f>
        <v>0.80085653104925059</v>
      </c>
      <c r="V166" s="82">
        <f>V$26/Population!AD$41</f>
        <v>0.80266006804825241</v>
      </c>
      <c r="W166" s="82">
        <f>W$26/Population!AE$41</f>
        <v>0.80377818403412549</v>
      </c>
      <c r="X166" s="82">
        <f>X$26/Population!AF$41</f>
        <v>0.80513918629550318</v>
      </c>
      <c r="Y166" s="82">
        <f>Y$26/Population!AG$41</f>
        <v>0.80641294575966438</v>
      </c>
      <c r="Z166" s="82">
        <f>Z$26/Population!AH$41</f>
        <v>0.8075036075036075</v>
      </c>
      <c r="AA166" s="82">
        <f>AA$26/Population!AI$41</f>
        <v>0.80842163970998326</v>
      </c>
      <c r="AB166" s="82">
        <f>AB$26/Population!AJ$41</f>
        <v>0.80957746478873238</v>
      </c>
      <c r="AC166" s="82">
        <f>AC$26/Population!AK$41</f>
        <v>0.81006047278724569</v>
      </c>
      <c r="AD166" s="82">
        <f>AD$26/Population!AL$41</f>
        <v>0.81091617933723192</v>
      </c>
      <c r="AE166" s="82">
        <f>AE$26/Population!AM$41</f>
        <v>0.81174146203782105</v>
      </c>
      <c r="AF166" s="82">
        <f>AF$26/Population!AN$41</f>
        <v>0.81210736721873211</v>
      </c>
      <c r="AG166" s="82">
        <f>AG$26/Population!AO$41</f>
        <v>0.81255500146670578</v>
      </c>
      <c r="AH166" s="82">
        <f>AH$26/Population!AP$41</f>
        <v>0.81305114638447973</v>
      </c>
      <c r="AI166" s="82">
        <f>AI$26/Population!AQ$41</f>
        <v>0.81352941176470583</v>
      </c>
      <c r="AJ166" s="82">
        <f>AJ$26/Population!AR$41</f>
        <v>0.81404119524223961</v>
      </c>
      <c r="AK166" s="82">
        <f>AK$26/Population!AS$41</f>
        <v>0.81421232876712324</v>
      </c>
      <c r="AL166" s="82">
        <f>AL$26/Population!AT$41</f>
        <v>0.81434599156118148</v>
      </c>
      <c r="AM166" s="82">
        <f>AM$26/Population!AU$41</f>
        <v>0.81467074187274247</v>
      </c>
      <c r="AN166" s="82">
        <f>AN$26/Population!AV$41</f>
        <v>0.81475364712358933</v>
      </c>
      <c r="AO166" s="82">
        <f>AO$26/Population!AW$41</f>
        <v>0.81509846827133481</v>
      </c>
      <c r="AP166" s="82">
        <f>AP$26/Population!AX$41</f>
        <v>0.81498637602179835</v>
      </c>
      <c r="AQ166" s="82">
        <f>AQ$26/Population!AY$41</f>
        <v>0.81533859124286101</v>
      </c>
      <c r="AR166" s="82">
        <f>AR$26/Population!AZ$41</f>
        <v>0.81511691136487219</v>
      </c>
      <c r="AS166" s="82">
        <f>AS$26/Population!BA$41</f>
        <v>0.815359477124183</v>
      </c>
      <c r="AT166" s="82">
        <f>AT$26/Population!BB$41</f>
        <v>0.81535099699535651</v>
      </c>
      <c r="AU166" s="82">
        <f>AU$26/Population!BC$41</f>
        <v>0.81536351165980792</v>
      </c>
      <c r="AV166" s="82">
        <f>AV$26/Population!BD$41</f>
        <v>0.81549917264202976</v>
      </c>
      <c r="AW166" s="82">
        <f>AW$26/Population!BE$41</f>
        <v>0.81548279689234182</v>
      </c>
      <c r="AX166" s="82">
        <f>AX$26/Population!BF$41</f>
        <v>0.81541468863445965</v>
      </c>
      <c r="AY166" s="82">
        <f>AY$26/Population!BG$41</f>
        <v>0.81539758359089631</v>
      </c>
      <c r="AZ166" s="82">
        <f>AZ$26/Population!BH$41</f>
        <v>0.815432447710571</v>
      </c>
      <c r="BA166" s="82">
        <f>BA$26/Population!BI$41</f>
        <v>0.81534090909090906</v>
      </c>
      <c r="BB166" s="82">
        <f>BB$26/Population!BJ$41</f>
        <v>0.81545921277809474</v>
      </c>
      <c r="BC166" s="82">
        <f>BC$26/Population!BK$41</f>
        <v>0.81555619102087507</v>
      </c>
      <c r="BD166" s="82">
        <f>BD$26/Population!BL$41</f>
        <v>0.81563126252505014</v>
      </c>
    </row>
    <row r="167" spans="3:56" x14ac:dyDescent="0.2">
      <c r="C167" s="28">
        <v>32</v>
      </c>
      <c r="E167" s="82">
        <f>E$27/Population!M$42</f>
        <v>0.74976715305805652</v>
      </c>
      <c r="F167" s="82">
        <f>F$27/Population!N$42</f>
        <v>0.75463103552991195</v>
      </c>
      <c r="G167" s="82">
        <f>G$27/Population!O$42</f>
        <v>0.75920514319111632</v>
      </c>
      <c r="H167" s="82">
        <f>H$27/Population!P$42</f>
        <v>0.76373626373626369</v>
      </c>
      <c r="I167" s="82">
        <f>I$27/Population!Q$42</f>
        <v>0.76789064593942646</v>
      </c>
      <c r="J167" s="82">
        <f>J$27/Population!R$42</f>
        <v>0.77167556572590901</v>
      </c>
      <c r="K167" s="82">
        <f>K$27/Population!S$42</f>
        <v>0.77513487003433057</v>
      </c>
      <c r="L167" s="82">
        <f>L$27/Population!T$42</f>
        <v>0.77838645418326691</v>
      </c>
      <c r="M167" s="82">
        <f>M$27/Population!U$42</f>
        <v>0.78178178178178181</v>
      </c>
      <c r="N167" s="82">
        <f>N$27/Population!V$42</f>
        <v>0.7846470891293148</v>
      </c>
      <c r="O167" s="82">
        <f>O$27/Population!W$42</f>
        <v>0.78744464704350092</v>
      </c>
      <c r="P167" s="82">
        <f>P$27/Population!X$42</f>
        <v>0.78983957219251333</v>
      </c>
      <c r="Q167" s="82">
        <f>Q$27/Population!Y$42</f>
        <v>0.79215155615696886</v>
      </c>
      <c r="R167" s="82">
        <f>R$27/Population!Z$42</f>
        <v>0.79450518643117463</v>
      </c>
      <c r="S167" s="82">
        <f>S$27/Population!AA$42</f>
        <v>0.79646274282400698</v>
      </c>
      <c r="T167" s="82">
        <f>T$27/Population!AB$42</f>
        <v>0.79857549857549859</v>
      </c>
      <c r="U167" s="82">
        <f>U$27/Population!AC$42</f>
        <v>0.79988348383338193</v>
      </c>
      <c r="V167" s="82">
        <f>V$27/Population!AD$42</f>
        <v>0.8017005769814759</v>
      </c>
      <c r="W167" s="82">
        <f>W$27/Population!AE$42</f>
        <v>0.80294659300184157</v>
      </c>
      <c r="X167" s="82">
        <f>X$27/Population!AF$42</f>
        <v>0.8042952208106473</v>
      </c>
      <c r="Y167" s="82">
        <f>Y$27/Population!AG$42</f>
        <v>0.80564834497418769</v>
      </c>
      <c r="Z167" s="82">
        <f>Z$27/Population!AH$42</f>
        <v>0.8066051770306456</v>
      </c>
      <c r="AA167" s="82">
        <f>AA$27/Population!AI$42</f>
        <v>0.80768128403554029</v>
      </c>
      <c r="AB167" s="82">
        <f>AB$27/Population!AJ$42</f>
        <v>0.80858725761772854</v>
      </c>
      <c r="AC167" s="82">
        <f>AC$27/Population!AK$42</f>
        <v>0.8094571908226077</v>
      </c>
      <c r="AD167" s="82">
        <f>AD$27/Population!AL$42</f>
        <v>0.80993992353904964</v>
      </c>
      <c r="AE167" s="82">
        <f>AE$27/Population!AM$42</f>
        <v>0.8107883817427386</v>
      </c>
      <c r="AF167" s="82">
        <f>AF$27/Population!AN$42</f>
        <v>0.8113789237668162</v>
      </c>
      <c r="AG167" s="82">
        <f>AG$27/Population!AO$42</f>
        <v>0.81196823596142942</v>
      </c>
      <c r="AH167" s="82">
        <f>AH$27/Population!AP$42</f>
        <v>0.81240897174482962</v>
      </c>
      <c r="AI167" s="82">
        <f>AI$27/Population!AQ$42</f>
        <v>0.81260945709281962</v>
      </c>
      <c r="AJ167" s="82">
        <f>AJ$27/Population!AR$42</f>
        <v>0.8128467153284672</v>
      </c>
      <c r="AK167" s="82">
        <f>AK$27/Population!AS$42</f>
        <v>0.81307603686635943</v>
      </c>
      <c r="AL167" s="82">
        <f>AL$27/Population!AT$42</f>
        <v>0.81326154718050436</v>
      </c>
      <c r="AM167" s="82">
        <f>AM$27/Population!AU$42</f>
        <v>0.81368715083798882</v>
      </c>
      <c r="AN167" s="82">
        <f>AN$27/Population!AV$42</f>
        <v>0.81396632624896492</v>
      </c>
      <c r="AO167" s="82">
        <f>AO$27/Population!AW$42</f>
        <v>0.81405523653267708</v>
      </c>
      <c r="AP167" s="82">
        <f>AP$27/Population!AX$42</f>
        <v>0.81418092909535456</v>
      </c>
      <c r="AQ167" s="82">
        <f>AQ$27/Population!AY$42</f>
        <v>0.8140730717185386</v>
      </c>
      <c r="AR167" s="82">
        <f>AR$27/Population!AZ$42</f>
        <v>0.81415451107509451</v>
      </c>
      <c r="AS167" s="82">
        <f>AS$27/Population!BA$42</f>
        <v>0.81442463533225284</v>
      </c>
      <c r="AT167" s="82">
        <f>AT$27/Population!BB$42</f>
        <v>0.81439393939393945</v>
      </c>
      <c r="AU167" s="82">
        <f>AU$27/Population!BC$42</f>
        <v>0.81465400271370425</v>
      </c>
      <c r="AV167" s="82">
        <f>AV$27/Population!BD$42</f>
        <v>0.81444141689373295</v>
      </c>
      <c r="AW167" s="82">
        <f>AW$27/Population!BE$42</f>
        <v>0.81457135031498218</v>
      </c>
      <c r="AX167" s="82">
        <f>AX$27/Population!BF$42</f>
        <v>0.81454946266189032</v>
      </c>
      <c r="AY167" s="82">
        <f>AY$27/Population!BG$42</f>
        <v>0.81447587354409323</v>
      </c>
      <c r="AZ167" s="82">
        <f>AZ$27/Population!BH$42</f>
        <v>0.81468043538933854</v>
      </c>
      <c r="BA167" s="82">
        <f>BA$27/Population!BI$42</f>
        <v>0.81471083660864685</v>
      </c>
      <c r="BB167" s="82">
        <f>BB$27/Population!BJ$42</f>
        <v>0.81461625282167038</v>
      </c>
      <c r="BC167" s="82">
        <f>BC$27/Population!BK$42</f>
        <v>0.81450014160294537</v>
      </c>
      <c r="BD167" s="82">
        <f>BD$27/Population!BL$42</f>
        <v>0.81431005110732535</v>
      </c>
    </row>
    <row r="168" spans="3:56" x14ac:dyDescent="0.2">
      <c r="C168" s="28">
        <v>33</v>
      </c>
      <c r="E168" s="82">
        <f>E$28/Population!M$43</f>
        <v>0.74904458598726109</v>
      </c>
      <c r="F168" s="82">
        <f>F$28/Population!N$43</f>
        <v>0.75382262996941896</v>
      </c>
      <c r="G168" s="82">
        <f>G$28/Population!O$43</f>
        <v>0.75854829034193161</v>
      </c>
      <c r="H168" s="82">
        <f>H$28/Population!P$43</f>
        <v>0.76266280752532567</v>
      </c>
      <c r="I168" s="82">
        <f>I$28/Population!Q$43</f>
        <v>0.7664392905866303</v>
      </c>
      <c r="J168" s="82">
        <f>J$28/Population!R$43</f>
        <v>0.77027748132337248</v>
      </c>
      <c r="K168" s="82">
        <f>K$28/Population!S$43</f>
        <v>0.77367088607594936</v>
      </c>
      <c r="L168" s="82">
        <f>L$28/Population!T$43</f>
        <v>0.77699071812408405</v>
      </c>
      <c r="M168" s="82">
        <f>M$28/Population!U$43</f>
        <v>0.78000992063492058</v>
      </c>
      <c r="N168" s="82">
        <f>N$28/Population!V$43</f>
        <v>0.78270620483428854</v>
      </c>
      <c r="O168" s="82">
        <f>O$28/Population!W$43</f>
        <v>0.78553104155977427</v>
      </c>
      <c r="P168" s="82">
        <f>P$28/Population!X$43</f>
        <v>0.78786307053941906</v>
      </c>
      <c r="Q168" s="82">
        <f>Q$28/Population!Y$43</f>
        <v>0.7902581847218525</v>
      </c>
      <c r="R168" s="82">
        <f>R$28/Population!Z$43</f>
        <v>0.79223928860145509</v>
      </c>
      <c r="S168" s="82">
        <f>S$28/Population!AA$43</f>
        <v>0.79430644711135923</v>
      </c>
      <c r="T168" s="82">
        <f>T$28/Population!AB$43</f>
        <v>0.7960184650894403</v>
      </c>
      <c r="U168" s="82">
        <f>U$28/Population!AC$43</f>
        <v>0.7978451942160476</v>
      </c>
      <c r="V168" s="82">
        <f>V$28/Population!AD$43</f>
        <v>0.7991304347826087</v>
      </c>
      <c r="W168" s="82">
        <f>W$28/Population!AE$43</f>
        <v>0.80060422960725075</v>
      </c>
      <c r="X168" s="82">
        <f>X$28/Population!AF$43</f>
        <v>0.80207697006719614</v>
      </c>
      <c r="Y168" s="82">
        <f>Y$28/Population!AG$43</f>
        <v>0.8028889557628649</v>
      </c>
      <c r="Z168" s="82">
        <f>Z$28/Population!AH$43</f>
        <v>0.80422960725075532</v>
      </c>
      <c r="AA168" s="82">
        <f>AA$28/Population!AI$43</f>
        <v>0.80491415038484315</v>
      </c>
      <c r="AB168" s="82">
        <f>AB$28/Population!AJ$43</f>
        <v>0.80604677695379345</v>
      </c>
      <c r="AC168" s="82">
        <f>AC$28/Population!AK$43</f>
        <v>0.80672732285635507</v>
      </c>
      <c r="AD168" s="82">
        <f>AD$28/Population!AL$43</f>
        <v>0.80757449178501806</v>
      </c>
      <c r="AE168" s="82">
        <f>AE$28/Population!AM$43</f>
        <v>0.80782821418863826</v>
      </c>
      <c r="AF168" s="82">
        <f>AF$28/Population!AN$43</f>
        <v>0.80864537444933926</v>
      </c>
      <c r="AG168" s="82">
        <f>AG$28/Population!AO$43</f>
        <v>0.80892608089260809</v>
      </c>
      <c r="AH168" s="82">
        <f>AH$28/Population!AP$43</f>
        <v>0.80948348856900931</v>
      </c>
      <c r="AI168" s="82">
        <f>AI$28/Population!AQ$43</f>
        <v>0.80985507246376809</v>
      </c>
      <c r="AJ168" s="82">
        <f>AJ$28/Population!AR$43</f>
        <v>0.81004937554458323</v>
      </c>
      <c r="AK168" s="82">
        <f>AK$28/Population!AS$43</f>
        <v>0.81057524694944805</v>
      </c>
      <c r="AL168" s="82">
        <f>AL$28/Population!AT$43</f>
        <v>0.81054743479507019</v>
      </c>
      <c r="AM168" s="82">
        <f>AM$28/Population!AU$43</f>
        <v>0.81077270163564574</v>
      </c>
      <c r="AN168" s="82">
        <f>AN$28/Population!AV$43</f>
        <v>0.81095357242146238</v>
      </c>
      <c r="AO168" s="82">
        <f>AO$28/Population!AW$43</f>
        <v>0.81126373626373627</v>
      </c>
      <c r="AP168" s="82">
        <f>AP$28/Population!AX$43</f>
        <v>0.81115646258503404</v>
      </c>
      <c r="AQ168" s="82">
        <f>AQ$28/Population!AY$43</f>
        <v>0.81124932395889671</v>
      </c>
      <c r="AR168" s="82">
        <f>AR$28/Population!AZ$43</f>
        <v>0.81142241379310343</v>
      </c>
      <c r="AS168" s="82">
        <f>AS$28/Population!BA$43</f>
        <v>0.81150847001882231</v>
      </c>
      <c r="AT168" s="82">
        <f>AT$28/Population!BB$43</f>
        <v>0.81150847001882231</v>
      </c>
      <c r="AU168" s="82">
        <f>AU$28/Population!BC$43</f>
        <v>0.81152396338179855</v>
      </c>
      <c r="AV168" s="82">
        <f>AV$28/Population!BD$43</f>
        <v>0.81150418579530115</v>
      </c>
      <c r="AW168" s="82">
        <f>AW$28/Population!BE$43</f>
        <v>0.81177108760509897</v>
      </c>
      <c r="AX168" s="82">
        <f>AX$28/Population!BF$43</f>
        <v>0.81161395856052343</v>
      </c>
      <c r="AY168" s="82">
        <f>AY$28/Population!BG$43</f>
        <v>0.81157432803071861</v>
      </c>
      <c r="AZ168" s="82">
        <f>AZ$28/Population!BH$43</f>
        <v>0.81175821142699423</v>
      </c>
      <c r="BA168" s="82">
        <f>BA$28/Population!BI$43</f>
        <v>0.81144126631491253</v>
      </c>
      <c r="BB168" s="82">
        <f>BB$28/Population!BJ$43</f>
        <v>0.81145251396648044</v>
      </c>
      <c r="BC168" s="82">
        <f>BC$28/Population!BK$43</f>
        <v>0.81162268388545766</v>
      </c>
      <c r="BD168" s="82">
        <f>BD$28/Population!BL$43</f>
        <v>0.81172491544532133</v>
      </c>
    </row>
    <row r="169" spans="3:56" x14ac:dyDescent="0.2">
      <c r="C169" s="28">
        <v>34</v>
      </c>
      <c r="E169" s="82">
        <f>E$29/Population!M$44</f>
        <v>0.75008061915511126</v>
      </c>
      <c r="F169" s="82">
        <f>F$29/Population!N$44</f>
        <v>0.75447409733124016</v>
      </c>
      <c r="G169" s="82">
        <f>G$29/Population!O$44</f>
        <v>0.75869368007257332</v>
      </c>
      <c r="H169" s="82">
        <f>H$29/Population!P$44</f>
        <v>0.76278240190249702</v>
      </c>
      <c r="I169" s="82">
        <f>I$29/Population!Q$44</f>
        <v>0.7662449683726279</v>
      </c>
      <c r="J169" s="82">
        <f>J$29/Population!R$44</f>
        <v>0.769627818527574</v>
      </c>
      <c r="K169" s="82">
        <f>K$29/Population!S$44</f>
        <v>0.77284803400637625</v>
      </c>
      <c r="L169" s="82">
        <f>L$29/Population!T$44</f>
        <v>0.775844679778114</v>
      </c>
      <c r="M169" s="82">
        <f>M$29/Population!U$44</f>
        <v>0.7788321167883212</v>
      </c>
      <c r="N169" s="82">
        <f>N$29/Population!V$44</f>
        <v>0.78162055335968383</v>
      </c>
      <c r="O169" s="82">
        <f>O$29/Population!W$44</f>
        <v>0.78381732439811369</v>
      </c>
      <c r="P169" s="82">
        <f>P$29/Population!X$44</f>
        <v>0.78640776699029125</v>
      </c>
      <c r="Q169" s="82">
        <f>Q$29/Population!Y$44</f>
        <v>0.78822314049586772</v>
      </c>
      <c r="R169" s="82">
        <f>R$29/Population!Z$44</f>
        <v>0.79035250463821893</v>
      </c>
      <c r="S169" s="82">
        <f>S$29/Population!AA$44</f>
        <v>0.79211373390557938</v>
      </c>
      <c r="T169" s="82">
        <f>T$29/Population!AB$44</f>
        <v>0.79388888888888887</v>
      </c>
      <c r="U169" s="82">
        <f>U$29/Population!AC$44</f>
        <v>0.7955198161975876</v>
      </c>
      <c r="V169" s="82">
        <f>V$29/Population!AD$44</f>
        <v>0.79683972911963885</v>
      </c>
      <c r="W169" s="82">
        <f>W$29/Population!AE$44</f>
        <v>0.79803808424697054</v>
      </c>
      <c r="X169" s="82">
        <f>X$29/Population!AF$44</f>
        <v>0.79921851517883979</v>
      </c>
      <c r="Y169" s="82">
        <f>Y$29/Population!AG$44</f>
        <v>0.8003646308113036</v>
      </c>
      <c r="Z169" s="82">
        <f>Z$29/Population!AH$44</f>
        <v>0.80119760479041913</v>
      </c>
      <c r="AA169" s="82">
        <f>AA$29/Population!AI$44</f>
        <v>0.80222422602945598</v>
      </c>
      <c r="AB169" s="82">
        <f>AB$29/Population!AJ$44</f>
        <v>0.80294550810014731</v>
      </c>
      <c r="AC169" s="82">
        <f>AC$29/Population!AK$44</f>
        <v>0.80386034629577063</v>
      </c>
      <c r="AD169" s="82">
        <f>AD$29/Population!AL$44</f>
        <v>0.80433589462129529</v>
      </c>
      <c r="AE169" s="82">
        <f>AE$29/Population!AM$44</f>
        <v>0.80487804878048785</v>
      </c>
      <c r="AF169" s="82">
        <f>AF$29/Population!AN$44</f>
        <v>0.80546536796536794</v>
      </c>
      <c r="AG169" s="82">
        <f>AG$29/Population!AO$44</f>
        <v>0.80597423951767611</v>
      </c>
      <c r="AH169" s="82">
        <f>AH$29/Population!AP$44</f>
        <v>0.80621876735147135</v>
      </c>
      <c r="AI169" s="82">
        <f>AI$29/Population!AQ$44</f>
        <v>0.80674157303370786</v>
      </c>
      <c r="AJ169" s="82">
        <f>AJ$29/Population!AR$44</f>
        <v>0.80703778482838184</v>
      </c>
      <c r="AK169" s="82">
        <f>AK$29/Population!AS$44</f>
        <v>0.80722543352601162</v>
      </c>
      <c r="AL169" s="82">
        <f>AL$29/Population!AT$44</f>
        <v>0.80745880312228968</v>
      </c>
      <c r="AM169" s="82">
        <f>AM$29/Population!AU$44</f>
        <v>0.80747290359383916</v>
      </c>
      <c r="AN169" s="82">
        <f>AN$29/Population!AV$44</f>
        <v>0.80774628122368786</v>
      </c>
      <c r="AO169" s="82">
        <f>AO$29/Population!AW$44</f>
        <v>0.80796900940785832</v>
      </c>
      <c r="AP169" s="82">
        <f>AP$29/Population!AX$44</f>
        <v>0.80803937653814606</v>
      </c>
      <c r="AQ169" s="82">
        <f>AQ$29/Population!AY$44</f>
        <v>0.80818206448117036</v>
      </c>
      <c r="AR169" s="82">
        <f>AR$29/Population!AZ$44</f>
        <v>0.80807537012113051</v>
      </c>
      <c r="AS169" s="82">
        <f>AS$29/Population!BA$44</f>
        <v>0.80825958702064893</v>
      </c>
      <c r="AT169" s="82">
        <f>AT$29/Population!BB$44</f>
        <v>0.80835117773019272</v>
      </c>
      <c r="AU169" s="82">
        <f>AU$29/Population!BC$44</f>
        <v>0.80835117773019272</v>
      </c>
      <c r="AV169" s="82">
        <f>AV$29/Population!BD$44</f>
        <v>0.80836236933797911</v>
      </c>
      <c r="AW169" s="82">
        <f>AW$29/Population!BE$44</f>
        <v>0.80833333333333335</v>
      </c>
      <c r="AX169" s="82">
        <f>AX$29/Population!BF$44</f>
        <v>0.80831533477321815</v>
      </c>
      <c r="AY169" s="82">
        <f>AY$29/Population!BG$44</f>
        <v>0.80841248303934876</v>
      </c>
      <c r="AZ169" s="82">
        <f>AZ$29/Population!BH$44</f>
        <v>0.80862680862680858</v>
      </c>
      <c r="BA169" s="82">
        <f>BA$29/Population!BI$44</f>
        <v>0.80851648351648353</v>
      </c>
      <c r="BB169" s="82">
        <f>BB$29/Population!BJ$44</f>
        <v>0.80845771144278611</v>
      </c>
      <c r="BC169" s="82">
        <f>BC$29/Population!BK$44</f>
        <v>0.80845148735056993</v>
      </c>
      <c r="BD169" s="82">
        <f>BD$29/Population!BL$44</f>
        <v>0.80832634814193904</v>
      </c>
    </row>
    <row r="170" spans="3:56" x14ac:dyDescent="0.2">
      <c r="C170" s="28">
        <v>35</v>
      </c>
      <c r="E170" s="82">
        <f>E$30/Population!M$45</f>
        <v>0.75294888597640897</v>
      </c>
      <c r="F170" s="82">
        <f>F$30/Population!N$45</f>
        <v>0.75676536134988859</v>
      </c>
      <c r="G170" s="82">
        <f>G$30/Population!O$45</f>
        <v>0.76072094468614049</v>
      </c>
      <c r="H170" s="82">
        <f>H$30/Population!P$45</f>
        <v>0.76431784107946033</v>
      </c>
      <c r="I170" s="82">
        <f>I$30/Population!Q$45</f>
        <v>0.76786769049025394</v>
      </c>
      <c r="J170" s="82">
        <f>J$30/Population!R$45</f>
        <v>0.77074985689753861</v>
      </c>
      <c r="K170" s="82">
        <f>K$30/Population!S$45</f>
        <v>0.77408008658008653</v>
      </c>
      <c r="L170" s="82">
        <f>L$30/Population!T$45</f>
        <v>0.77666049219370203</v>
      </c>
      <c r="M170" s="82">
        <f>M$30/Population!U$45</f>
        <v>0.77920120572720419</v>
      </c>
      <c r="N170" s="82">
        <f>N$30/Population!V$45</f>
        <v>0.78162869607367913</v>
      </c>
      <c r="O170" s="82">
        <f>O$30/Population!W$45</f>
        <v>0.78395669291338588</v>
      </c>
      <c r="P170" s="82">
        <f>P$30/Population!X$45</f>
        <v>0.7861028684470821</v>
      </c>
      <c r="Q170" s="82">
        <f>Q$30/Population!Y$45</f>
        <v>0.78804071246819341</v>
      </c>
      <c r="R170" s="82">
        <f>R$30/Population!Z$45</f>
        <v>0.79006946231026498</v>
      </c>
      <c r="S170" s="82">
        <f>S$30/Population!AA$45</f>
        <v>0.79150171549221426</v>
      </c>
      <c r="T170" s="82">
        <f>T$30/Population!AB$45</f>
        <v>0.79321399946566928</v>
      </c>
      <c r="U170" s="82">
        <f>U$30/Population!AC$45</f>
        <v>0.79452433628318586</v>
      </c>
      <c r="V170" s="82">
        <f>V$30/Population!AD$45</f>
        <v>0.79588336192109777</v>
      </c>
      <c r="W170" s="82">
        <f>W$30/Population!AE$45</f>
        <v>0.79713402641191344</v>
      </c>
      <c r="X170" s="82">
        <f>X$30/Population!AF$45</f>
        <v>0.79810453762205624</v>
      </c>
      <c r="Y170" s="82">
        <f>Y$30/Population!AG$45</f>
        <v>0.79922202274087373</v>
      </c>
      <c r="Z170" s="82">
        <f>Z$30/Population!AH$45</f>
        <v>0.80012095554883578</v>
      </c>
      <c r="AA170" s="82">
        <f>AA$30/Population!AI$45</f>
        <v>0.80089418777943366</v>
      </c>
      <c r="AB170" s="82">
        <f>AB$30/Population!AJ$45</f>
        <v>0.80137600957224053</v>
      </c>
      <c r="AC170" s="82">
        <f>AC$30/Population!AK$45</f>
        <v>0.80211081794195249</v>
      </c>
      <c r="AD170" s="82">
        <f>AD$30/Population!AL$45</f>
        <v>0.80276914382593956</v>
      </c>
      <c r="AE170" s="82">
        <f>AE$30/Population!AM$45</f>
        <v>0.80349822355834932</v>
      </c>
      <c r="AF170" s="82">
        <f>AF$30/Population!AN$45</f>
        <v>0.80380794701986757</v>
      </c>
      <c r="AG170" s="82">
        <f>AG$30/Population!AO$45</f>
        <v>0.80436540016168145</v>
      </c>
      <c r="AH170" s="82">
        <f>AH$30/Population!AP$45</f>
        <v>0.80463847203274219</v>
      </c>
      <c r="AI170" s="82">
        <f>AI$30/Population!AQ$45</f>
        <v>0.80508708874758084</v>
      </c>
      <c r="AJ170" s="82">
        <f>AJ$30/Population!AR$45</f>
        <v>0.80536912751677847</v>
      </c>
      <c r="AK170" s="82">
        <f>AK$30/Population!AS$45</f>
        <v>0.80534022394487514</v>
      </c>
      <c r="AL170" s="82">
        <f>AL$30/Population!AT$45</f>
        <v>0.8055235903337169</v>
      </c>
      <c r="AM170" s="82">
        <f>AM$30/Population!AU$45</f>
        <v>0.80575539568345322</v>
      </c>
      <c r="AN170" s="82">
        <f>AN$30/Population!AV$45</f>
        <v>0.80579216354344119</v>
      </c>
      <c r="AO170" s="82">
        <f>AO$30/Population!AW$45</f>
        <v>0.80609108689578091</v>
      </c>
      <c r="AP170" s="82">
        <f>AP$30/Population!AX$45</f>
        <v>0.80606060606060603</v>
      </c>
      <c r="AQ170" s="82">
        <f>AQ$30/Population!AY$45</f>
        <v>0.80615300843996729</v>
      </c>
      <c r="AR170" s="82">
        <f>AR$30/Population!AZ$45</f>
        <v>0.80609492988133769</v>
      </c>
      <c r="AS170" s="82">
        <f>AS$30/Population!BA$45</f>
        <v>0.80621817207183066</v>
      </c>
      <c r="AT170" s="82">
        <f>AT$30/Population!BB$45</f>
        <v>0.80640854472630175</v>
      </c>
      <c r="AU170" s="82">
        <f>AU$30/Population!BC$45</f>
        <v>0.80650319829424311</v>
      </c>
      <c r="AV170" s="82">
        <f>AV$30/Population!BD$45</f>
        <v>0.80650319829424311</v>
      </c>
      <c r="AW170" s="82">
        <f>AW$30/Population!BE$45</f>
        <v>0.80651187616760078</v>
      </c>
      <c r="AX170" s="82">
        <f>AX$30/Population!BF$45</f>
        <v>0.80647751605995721</v>
      </c>
      <c r="AY170" s="82">
        <f>AY$30/Population!BG$45</f>
        <v>0.80645161290322576</v>
      </c>
      <c r="AZ170" s="82">
        <f>AZ$30/Population!BH$45</f>
        <v>0.80653877330451229</v>
      </c>
      <c r="BA170" s="82">
        <f>BA$30/Population!BI$45</f>
        <v>0.80625000000000002</v>
      </c>
      <c r="BB170" s="82">
        <f>BB$30/Population!BJ$45</f>
        <v>0.80639868744872845</v>
      </c>
      <c r="BC170" s="82">
        <f>BC$30/Population!BK$45</f>
        <v>0.80654925701706104</v>
      </c>
      <c r="BD170" s="82">
        <f>BD$30/Population!BL$45</f>
        <v>0.80653196789371717</v>
      </c>
    </row>
    <row r="171" spans="3:56" x14ac:dyDescent="0.2">
      <c r="C171" s="28">
        <v>36</v>
      </c>
      <c r="E171" s="82">
        <f>E$31/Population!M$46</f>
        <v>0.75772849462365588</v>
      </c>
      <c r="F171" s="82">
        <f>F$31/Population!N$46</f>
        <v>0.76165803108808294</v>
      </c>
      <c r="G171" s="82">
        <f>G$31/Population!O$46</f>
        <v>0.76505834121728167</v>
      </c>
      <c r="H171" s="82">
        <f>H$31/Population!P$46</f>
        <v>0.76842429848905336</v>
      </c>
      <c r="I171" s="82">
        <f>I$31/Population!Q$46</f>
        <v>0.77161598091830652</v>
      </c>
      <c r="J171" s="82">
        <f>J$31/Population!R$46</f>
        <v>0.77441176470588236</v>
      </c>
      <c r="K171" s="82">
        <f>K$31/Population!S$46</f>
        <v>0.77730253778157965</v>
      </c>
      <c r="L171" s="82">
        <f>L$31/Population!T$46</f>
        <v>0.77978436657681938</v>
      </c>
      <c r="M171" s="82">
        <f>M$31/Population!U$46</f>
        <v>0.78223042446612179</v>
      </c>
      <c r="N171" s="82">
        <f>N$31/Population!V$46</f>
        <v>0.78448060075093873</v>
      </c>
      <c r="O171" s="82">
        <f>O$31/Population!W$46</f>
        <v>0.7866634452766369</v>
      </c>
      <c r="P171" s="82">
        <f>P$31/Population!X$46</f>
        <v>0.78857002698062306</v>
      </c>
      <c r="Q171" s="82">
        <f>Q$31/Population!Y$46</f>
        <v>0.79029078363725969</v>
      </c>
      <c r="R171" s="82">
        <f>R$31/Population!Z$46</f>
        <v>0.79183569979716029</v>
      </c>
      <c r="S171" s="82">
        <f>S$31/Population!AA$46</f>
        <v>0.79364265572930015</v>
      </c>
      <c r="T171" s="82">
        <f>T$31/Population!AB$46</f>
        <v>0.7951078379800105</v>
      </c>
      <c r="U171" s="82">
        <f>U$31/Population!AC$46</f>
        <v>0.7963800904977375</v>
      </c>
      <c r="V171" s="82">
        <f>V$31/Population!AD$46</f>
        <v>0.7975206611570248</v>
      </c>
      <c r="W171" s="82">
        <f>W$31/Population!AE$46</f>
        <v>0.79869020501138954</v>
      </c>
      <c r="X171" s="82">
        <f>X$31/Population!AF$46</f>
        <v>0.79966424174594297</v>
      </c>
      <c r="Y171" s="82">
        <f>Y$31/Population!AG$46</f>
        <v>0.80062929061784893</v>
      </c>
      <c r="Z171" s="82">
        <f>Z$31/Population!AH$46</f>
        <v>0.80131069407208821</v>
      </c>
      <c r="AA171" s="82">
        <f>AA$31/Population!AI$46</f>
        <v>0.80216802168021684</v>
      </c>
      <c r="AB171" s="82">
        <f>AB$31/Population!AJ$46</f>
        <v>0.80267062314540061</v>
      </c>
      <c r="AC171" s="82">
        <f>AC$31/Population!AK$46</f>
        <v>0.80339588918677396</v>
      </c>
      <c r="AD171" s="82">
        <f>AD$31/Population!AL$46</f>
        <v>0.80408759124087592</v>
      </c>
      <c r="AE171" s="82">
        <f>AE$31/Population!AM$46</f>
        <v>0.80439065578384461</v>
      </c>
      <c r="AF171" s="82">
        <f>AF$31/Population!AN$46</f>
        <v>0.80484485574305931</v>
      </c>
      <c r="AG171" s="82">
        <f>AG$31/Population!AO$46</f>
        <v>0.80538757559098406</v>
      </c>
      <c r="AH171" s="82">
        <f>AH$31/Population!AP$46</f>
        <v>0.80568974771873325</v>
      </c>
      <c r="AI171" s="82">
        <f>AI$31/Population!AQ$46</f>
        <v>0.80592552324001088</v>
      </c>
      <c r="AJ171" s="82">
        <f>AJ$31/Population!AR$46</f>
        <v>0.80616740088105732</v>
      </c>
      <c r="AK171" s="82">
        <f>AK$31/Population!AS$46</f>
        <v>0.8064605959342801</v>
      </c>
      <c r="AL171" s="82">
        <f>AL$31/Population!AT$46</f>
        <v>0.80646083476272157</v>
      </c>
      <c r="AM171" s="82">
        <f>AM$31/Population!AU$46</f>
        <v>0.80687679083094554</v>
      </c>
      <c r="AN171" s="82">
        <f>AN$31/Population!AV$46</f>
        <v>0.80687679083094554</v>
      </c>
      <c r="AO171" s="82">
        <f>AO$31/Population!AW$46</f>
        <v>0.8071266968325792</v>
      </c>
      <c r="AP171" s="82">
        <f>AP$31/Population!AX$46</f>
        <v>0.80712496521013077</v>
      </c>
      <c r="AQ171" s="82">
        <f>AQ$31/Population!AY$46</f>
        <v>0.80708013172338089</v>
      </c>
      <c r="AR171" s="82">
        <f>AR$31/Population!AZ$46</f>
        <v>0.80721258134490237</v>
      </c>
      <c r="AS171" s="82">
        <f>AS$31/Population!BA$46</f>
        <v>0.80736163353036006</v>
      </c>
      <c r="AT171" s="82">
        <f>AT$31/Population!BB$46</f>
        <v>0.80747663551401871</v>
      </c>
      <c r="AU171" s="82">
        <f>AU$31/Population!BC$46</f>
        <v>0.80739558393189681</v>
      </c>
      <c r="AV171" s="82">
        <f>AV$31/Population!BD$46</f>
        <v>0.80727369259357584</v>
      </c>
      <c r="AW171" s="82">
        <f>AW$31/Population!BE$46</f>
        <v>0.80727369259357584</v>
      </c>
      <c r="AX171" s="82">
        <f>AX$31/Population!BF$46</f>
        <v>0.80749800584950815</v>
      </c>
      <c r="AY171" s="82">
        <f>AY$31/Population!BG$46</f>
        <v>0.80746666666666667</v>
      </c>
      <c r="AZ171" s="82">
        <f>AZ$31/Population!BH$46</f>
        <v>0.80749665327978581</v>
      </c>
      <c r="BA171" s="82">
        <f>BA$31/Population!BI$46</f>
        <v>0.8073196986006459</v>
      </c>
      <c r="BB171" s="82">
        <f>BB$31/Population!BJ$46</f>
        <v>0.80752571737953438</v>
      </c>
      <c r="BC171" s="82">
        <f>BC$31/Population!BK$46</f>
        <v>0.80740942522473436</v>
      </c>
      <c r="BD171" s="82">
        <f>BD$31/Population!BL$46</f>
        <v>0.80734447793916142</v>
      </c>
    </row>
    <row r="172" spans="3:56" x14ac:dyDescent="0.2">
      <c r="C172" s="28">
        <v>37</v>
      </c>
      <c r="E172" s="82">
        <f>E$32/Population!M$47</f>
        <v>0.76512335248394725</v>
      </c>
      <c r="F172" s="82">
        <f>F$32/Population!N$47</f>
        <v>0.76869391824526423</v>
      </c>
      <c r="G172" s="82">
        <f>G$32/Population!O$47</f>
        <v>0.77182284980744542</v>
      </c>
      <c r="H172" s="82">
        <f>H$32/Population!P$47</f>
        <v>0.77513310366426558</v>
      </c>
      <c r="I172" s="82">
        <f>I$32/Population!Q$47</f>
        <v>0.77822085889570547</v>
      </c>
      <c r="J172" s="82">
        <f>J$32/Population!R$47</f>
        <v>0.78104575163398693</v>
      </c>
      <c r="K172" s="82">
        <f>K$32/Population!S$47</f>
        <v>0.78341148886283707</v>
      </c>
      <c r="L172" s="82">
        <f>L$32/Population!T$47</f>
        <v>0.7860187553282183</v>
      </c>
      <c r="M172" s="82">
        <f>M$32/Population!U$47</f>
        <v>0.7882858678130038</v>
      </c>
      <c r="N172" s="82">
        <f>N$32/Population!V$47</f>
        <v>0.79027595269382389</v>
      </c>
      <c r="O172" s="82">
        <f>O$32/Population!W$47</f>
        <v>0.79231153270094856</v>
      </c>
      <c r="P172" s="82">
        <f>P$32/Population!X$47</f>
        <v>0.79402553601541792</v>
      </c>
      <c r="Q172" s="82">
        <f>Q$32/Population!Y$47</f>
        <v>0.79579359256541937</v>
      </c>
      <c r="R172" s="82">
        <f>R$32/Population!Z$47</f>
        <v>0.79729729729729726</v>
      </c>
      <c r="S172" s="82">
        <f>S$32/Population!AA$47</f>
        <v>0.79878665318503539</v>
      </c>
      <c r="T172" s="82">
        <f>T$32/Population!AB$47</f>
        <v>0.80015333503705599</v>
      </c>
      <c r="U172" s="82">
        <f>U$32/Population!AC$47</f>
        <v>0.80131061598951503</v>
      </c>
      <c r="V172" s="82">
        <f>V$32/Population!AD$47</f>
        <v>0.80260015919341998</v>
      </c>
      <c r="W172" s="82">
        <f>W$32/Population!AE$47</f>
        <v>0.80340472267984619</v>
      </c>
      <c r="X172" s="82">
        <f>X$32/Population!AF$47</f>
        <v>0.80448354143019296</v>
      </c>
      <c r="Y172" s="82">
        <f>Y$32/Population!AG$47</f>
        <v>0.80535415504740659</v>
      </c>
      <c r="Z172" s="82">
        <f>Z$32/Population!AH$47</f>
        <v>0.80592761470504415</v>
      </c>
      <c r="AA172" s="82">
        <f>AA$32/Population!AI$47</f>
        <v>0.80676758682101513</v>
      </c>
      <c r="AB172" s="82">
        <f>AB$32/Population!AJ$47</f>
        <v>0.80743851229754049</v>
      </c>
      <c r="AC172" s="82">
        <f>AC$32/Population!AK$47</f>
        <v>0.80810171496156125</v>
      </c>
      <c r="AD172" s="82">
        <f>AD$32/Population!AL$47</f>
        <v>0.80830860534124627</v>
      </c>
      <c r="AE172" s="82">
        <f>AE$32/Population!AM$47</f>
        <v>0.80913587430899037</v>
      </c>
      <c r="AF172" s="82">
        <f>AF$32/Population!AN$47</f>
        <v>0.80931015143017382</v>
      </c>
      <c r="AG172" s="82">
        <f>AG$32/Population!AO$47</f>
        <v>0.80982094411285943</v>
      </c>
      <c r="AH172" s="82">
        <f>AH$32/Population!AP$47</f>
        <v>0.80991509175568333</v>
      </c>
      <c r="AI172" s="82">
        <f>AI$32/Population!AQ$47</f>
        <v>0.81032637774210803</v>
      </c>
      <c r="AJ172" s="82">
        <f>AJ$32/Population!AR$47</f>
        <v>0.81040086673889489</v>
      </c>
      <c r="AK172" s="82">
        <f>AK$32/Population!AS$47</f>
        <v>0.81092206366630082</v>
      </c>
      <c r="AL172" s="82">
        <f>AL$32/Population!AT$47</f>
        <v>0.81099084096586183</v>
      </c>
      <c r="AM172" s="82">
        <f>AM$32/Population!AU$47</f>
        <v>0.81111111111111112</v>
      </c>
      <c r="AN172" s="82">
        <f>AN$32/Population!AV$47</f>
        <v>0.81130459606051952</v>
      </c>
      <c r="AO172" s="82">
        <f>AO$32/Population!AW$47</f>
        <v>0.8115362649914335</v>
      </c>
      <c r="AP172" s="82">
        <f>AP$32/Population!AX$47</f>
        <v>0.81149619611158075</v>
      </c>
      <c r="AQ172" s="82">
        <f>AQ$32/Population!AY$47</f>
        <v>0.81142540210759839</v>
      </c>
      <c r="AR172" s="82">
        <f>AR$32/Population!AZ$47</f>
        <v>0.81159420289855078</v>
      </c>
      <c r="AS172" s="82">
        <f>AS$32/Population!BA$47</f>
        <v>0.81140232369629828</v>
      </c>
      <c r="AT172" s="82">
        <f>AT$32/Population!BB$47</f>
        <v>0.81151271753681398</v>
      </c>
      <c r="AU172" s="82">
        <f>AU$32/Population!BC$47</f>
        <v>0.81160191591271957</v>
      </c>
      <c r="AV172" s="82">
        <f>AV$32/Population!BD$47</f>
        <v>0.81177094379639447</v>
      </c>
      <c r="AW172" s="82">
        <f>AW$32/Population!BE$47</f>
        <v>0.81185498809208789</v>
      </c>
      <c r="AX172" s="82">
        <f>AX$32/Population!BF$47</f>
        <v>0.81164021164021161</v>
      </c>
      <c r="AY172" s="82">
        <f>AY$32/Population!BG$47</f>
        <v>0.81160572337042924</v>
      </c>
      <c r="AZ172" s="82">
        <f>AZ$32/Population!BH$47</f>
        <v>0.81185224554876423</v>
      </c>
      <c r="BA172" s="82">
        <f>BA$32/Population!BI$47</f>
        <v>0.81163287086446101</v>
      </c>
      <c r="BB172" s="82">
        <f>BB$32/Population!BJ$47</f>
        <v>0.8117457763475463</v>
      </c>
      <c r="BC172" s="82">
        <f>BC$32/Population!BK$47</f>
        <v>0.81170758025357437</v>
      </c>
      <c r="BD172" s="82">
        <f>BD$32/Population!BL$47</f>
        <v>0.81188925081433228</v>
      </c>
    </row>
    <row r="173" spans="3:56" x14ac:dyDescent="0.2">
      <c r="C173" s="28">
        <v>38</v>
      </c>
      <c r="E173" s="82">
        <f>E$33/Population!M$48</f>
        <v>0.77481431465226203</v>
      </c>
      <c r="F173" s="82">
        <f>F$33/Population!N$48</f>
        <v>0.7781124497991968</v>
      </c>
      <c r="G173" s="82">
        <f>G$33/Population!O$48</f>
        <v>0.78107484338938349</v>
      </c>
      <c r="H173" s="82">
        <f>H$33/Population!P$48</f>
        <v>0.78405103668261567</v>
      </c>
      <c r="I173" s="82">
        <f>I$33/Population!Q$48</f>
        <v>0.78678304239401498</v>
      </c>
      <c r="J173" s="82">
        <f>J$33/Population!R$48</f>
        <v>0.78905533476001222</v>
      </c>
      <c r="K173" s="82">
        <f>K$33/Population!S$48</f>
        <v>0.79153094462540718</v>
      </c>
      <c r="L173" s="82">
        <f>L$33/Population!T$48</f>
        <v>0.79398012857977796</v>
      </c>
      <c r="M173" s="82">
        <f>M$33/Population!U$48</f>
        <v>0.79575070821529748</v>
      </c>
      <c r="N173" s="82">
        <f>N$33/Population!V$48</f>
        <v>0.79796355841371913</v>
      </c>
      <c r="O173" s="82">
        <f>O$33/Population!W$48</f>
        <v>0.79973787680209696</v>
      </c>
      <c r="P173" s="82">
        <f>P$33/Population!X$48</f>
        <v>0.80134428678117997</v>
      </c>
      <c r="Q173" s="82">
        <f>Q$33/Population!Y$48</f>
        <v>0.8029319875030041</v>
      </c>
      <c r="R173" s="82">
        <f>R$33/Population!Z$48</f>
        <v>0.80458648450841663</v>
      </c>
      <c r="S173" s="82">
        <f>S$33/Population!AA$48</f>
        <v>0.80588235294117649</v>
      </c>
      <c r="T173" s="82">
        <f>T$33/Population!AB$48</f>
        <v>0.80685829551185073</v>
      </c>
      <c r="U173" s="82">
        <f>U$33/Population!AC$48</f>
        <v>0.80810397553516822</v>
      </c>
      <c r="V173" s="82">
        <f>V$33/Population!AD$48</f>
        <v>0.80915032679738563</v>
      </c>
      <c r="W173" s="82">
        <f>W$33/Population!AE$48</f>
        <v>0.81005291005291002</v>
      </c>
      <c r="X173" s="82">
        <f>X$33/Population!AF$48</f>
        <v>0.81106243154435931</v>
      </c>
      <c r="Y173" s="82">
        <f>Y$33/Population!AG$48</f>
        <v>0.81188118811881194</v>
      </c>
      <c r="Z173" s="82">
        <f>Z$33/Population!AH$48</f>
        <v>0.81234361968306923</v>
      </c>
      <c r="AA173" s="82">
        <f>AA$33/Population!AI$48</f>
        <v>0.8132992327365729</v>
      </c>
      <c r="AB173" s="82">
        <f>AB$33/Population!AJ$48</f>
        <v>0.81390532544378702</v>
      </c>
      <c r="AC173" s="82">
        <f>AC$33/Population!AK$48</f>
        <v>0.81434977578475332</v>
      </c>
      <c r="AD173" s="82">
        <f>AD$33/Population!AL$48</f>
        <v>0.81491305629236666</v>
      </c>
      <c r="AE173" s="82">
        <f>AE$33/Population!AM$48</f>
        <v>0.81538461538461537</v>
      </c>
      <c r="AF173" s="82">
        <f>AF$33/Population!AN$48</f>
        <v>0.81554524361948955</v>
      </c>
      <c r="AG173" s="82">
        <f>AG$33/Population!AO$48</f>
        <v>0.81576740285155158</v>
      </c>
      <c r="AH173" s="82">
        <f>AH$33/Population!AP$48</f>
        <v>0.81633757100351634</v>
      </c>
      <c r="AI173" s="82">
        <f>AI$33/Population!AQ$48</f>
        <v>0.81649371927908243</v>
      </c>
      <c r="AJ173" s="82">
        <f>AJ$33/Population!AR$48</f>
        <v>0.81675113363563612</v>
      </c>
      <c r="AK173" s="82">
        <f>AK$33/Population!AS$48</f>
        <v>0.8169052119902781</v>
      </c>
      <c r="AL173" s="82">
        <f>AL$33/Population!AT$48</f>
        <v>0.81723666210670309</v>
      </c>
      <c r="AM173" s="82">
        <f>AM$33/Population!AU$48</f>
        <v>0.81737686773657992</v>
      </c>
      <c r="AN173" s="82">
        <f>AN$33/Population!AV$48</f>
        <v>0.81738142573132633</v>
      </c>
      <c r="AO173" s="82">
        <f>AO$33/Population!AW$48</f>
        <v>0.81758679567444503</v>
      </c>
      <c r="AP173" s="82">
        <f>AP$33/Population!AX$48</f>
        <v>0.81753487048107032</v>
      </c>
      <c r="AQ173" s="82">
        <f>AQ$33/Population!AY$48</f>
        <v>0.81741573033707871</v>
      </c>
      <c r="AR173" s="82">
        <f>AR$33/Population!AZ$48</f>
        <v>0.81752833840199057</v>
      </c>
      <c r="AS173" s="82">
        <f>AS$33/Population!BA$48</f>
        <v>0.81761177753544168</v>
      </c>
      <c r="AT173" s="82">
        <f>AT$33/Population!BB$48</f>
        <v>0.81761853448275867</v>
      </c>
      <c r="AU173" s="82">
        <f>AU$33/Population!BC$48</f>
        <v>0.81767218366257344</v>
      </c>
      <c r="AV173" s="82">
        <f>AV$33/Population!BD$48</f>
        <v>0.81772353409392406</v>
      </c>
      <c r="AW173" s="82">
        <f>AW$33/Population!BE$48</f>
        <v>0.81786941580756012</v>
      </c>
      <c r="AX173" s="82">
        <f>AX$33/Population!BF$48</f>
        <v>0.81772619361646004</v>
      </c>
      <c r="AY173" s="82">
        <f>AY$33/Population!BG$48</f>
        <v>0.81772619361646004</v>
      </c>
      <c r="AZ173" s="82">
        <f>AZ$33/Population!BH$48</f>
        <v>0.81770145310435927</v>
      </c>
      <c r="BA173" s="82">
        <f>BA$33/Population!BI$48</f>
        <v>0.81774834437086097</v>
      </c>
      <c r="BB173" s="82">
        <f>BB$33/Population!BJ$48</f>
        <v>0.81777068369247141</v>
      </c>
      <c r="BC173" s="82">
        <f>BC$33/Population!BK$48</f>
        <v>0.81764705882352939</v>
      </c>
      <c r="BD173" s="82">
        <f>BD$33/Population!BL$48</f>
        <v>0.81769292820650707</v>
      </c>
    </row>
    <row r="174" spans="3:56" x14ac:dyDescent="0.2">
      <c r="C174" s="28">
        <v>39</v>
      </c>
      <c r="E174" s="82">
        <f>E$34/Population!M$49</f>
        <v>0.78389682816312301</v>
      </c>
      <c r="F174" s="82">
        <f>F$34/Population!N$49</f>
        <v>0.78681392235609104</v>
      </c>
      <c r="G174" s="82">
        <f>G$34/Population!O$49</f>
        <v>0.78970099667774085</v>
      </c>
      <c r="H174" s="82">
        <f>H$34/Population!P$49</f>
        <v>0.79245901639344263</v>
      </c>
      <c r="I174" s="82">
        <f>I$34/Population!Q$49</f>
        <v>0.79510800508259216</v>
      </c>
      <c r="J174" s="82">
        <f>J$34/Population!R$49</f>
        <v>0.7973267018961766</v>
      </c>
      <c r="K174" s="82">
        <f>K$34/Population!S$49</f>
        <v>0.79963403476669714</v>
      </c>
      <c r="L174" s="82">
        <f>L$34/Population!T$49</f>
        <v>0.80177252584933534</v>
      </c>
      <c r="M174" s="82">
        <f>M$34/Population!U$49</f>
        <v>0.80355581463130288</v>
      </c>
      <c r="N174" s="82">
        <f>N$34/Population!V$49</f>
        <v>0.80553985302430753</v>
      </c>
      <c r="O174" s="82">
        <f>O$34/Population!W$49</f>
        <v>0.80700347500668268</v>
      </c>
      <c r="P174" s="82">
        <f>P$34/Population!X$49</f>
        <v>0.80857740585774063</v>
      </c>
      <c r="Q174" s="82">
        <f>Q$34/Population!Y$49</f>
        <v>0.81018633540372675</v>
      </c>
      <c r="R174" s="82">
        <f>R$34/Population!Z$49</f>
        <v>0.81151079136690651</v>
      </c>
      <c r="S174" s="82">
        <f>S$34/Population!AA$49</f>
        <v>0.81280428432327168</v>
      </c>
      <c r="T174" s="82">
        <f>T$34/Population!AB$49</f>
        <v>0.81389092687698705</v>
      </c>
      <c r="U174" s="82">
        <f>U$34/Population!AC$49</f>
        <v>0.81484276729559746</v>
      </c>
      <c r="V174" s="82">
        <f>V$34/Population!AD$49</f>
        <v>0.81586978636826046</v>
      </c>
      <c r="W174" s="82">
        <f>W$34/Population!AE$49</f>
        <v>0.8166405842462181</v>
      </c>
      <c r="X174" s="82">
        <f>X$34/Population!AF$49</f>
        <v>0.81762998152546851</v>
      </c>
      <c r="Y174" s="82">
        <f>Y$34/Population!AG$49</f>
        <v>0.8183556405353728</v>
      </c>
      <c r="Z174" s="82">
        <f>Z$34/Population!AH$49</f>
        <v>0.81913092550790068</v>
      </c>
      <c r="AA174" s="82">
        <f>AA$34/Population!AI$49</f>
        <v>0.81946755407653915</v>
      </c>
      <c r="AB174" s="82">
        <f>AB$34/Population!AJ$49</f>
        <v>0.82029478458049887</v>
      </c>
      <c r="AC174" s="82">
        <f>AC$34/Population!AK$49</f>
        <v>0.82059604603127767</v>
      </c>
      <c r="AD174" s="82">
        <f>AD$34/Population!AL$49</f>
        <v>0.82110912343470488</v>
      </c>
      <c r="AE174" s="82">
        <f>AE$34/Population!AM$49</f>
        <v>0.82157554379776598</v>
      </c>
      <c r="AF174" s="82">
        <f>AF$34/Population!AN$49</f>
        <v>0.82182890855457225</v>
      </c>
      <c r="AG174" s="82">
        <f>AG$34/Population!AO$49</f>
        <v>0.82215153267784846</v>
      </c>
      <c r="AH174" s="82">
        <f>AH$34/Population!AP$49</f>
        <v>0.8223647518126046</v>
      </c>
      <c r="AI174" s="82">
        <f>AI$34/Population!AQ$49</f>
        <v>0.82271991365353481</v>
      </c>
      <c r="AJ174" s="82">
        <f>AJ$34/Population!AR$49</f>
        <v>0.82293652955597929</v>
      </c>
      <c r="AK174" s="82">
        <f>AK$34/Population!AS$49</f>
        <v>0.82304417243214478</v>
      </c>
      <c r="AL174" s="82">
        <f>AL$34/Population!AT$49</f>
        <v>0.82327586206896552</v>
      </c>
      <c r="AM174" s="82">
        <f>AM$34/Population!AU$49</f>
        <v>0.82319236016371078</v>
      </c>
      <c r="AN174" s="82">
        <f>AN$34/Population!AV$49</f>
        <v>0.82339955849889623</v>
      </c>
      <c r="AO174" s="82">
        <f>AO$34/Population!AW$49</f>
        <v>0.8235627301047862</v>
      </c>
      <c r="AP174" s="82">
        <f>AP$34/Population!AX$49</f>
        <v>0.82349602724177073</v>
      </c>
      <c r="AQ174" s="82">
        <f>AQ$34/Population!AY$49</f>
        <v>0.82372977575929607</v>
      </c>
      <c r="AR174" s="82">
        <f>AR$34/Population!AZ$49</f>
        <v>0.82352941176470584</v>
      </c>
      <c r="AS174" s="82">
        <f>AS$34/Population!BA$49</f>
        <v>0.8235456299972429</v>
      </c>
      <c r="AT174" s="82">
        <f>AT$34/Population!BB$49</f>
        <v>0.82354540511147367</v>
      </c>
      <c r="AU174" s="82">
        <f>AU$34/Population!BC$49</f>
        <v>0.82370330556302074</v>
      </c>
      <c r="AV174" s="82">
        <f>AV$34/Population!BD$49</f>
        <v>0.82374866879659214</v>
      </c>
      <c r="AW174" s="82">
        <f>AW$34/Population!BE$49</f>
        <v>0.82376290023815824</v>
      </c>
      <c r="AX174" s="82">
        <f>AX$34/Population!BF$49</f>
        <v>0.82388610598470868</v>
      </c>
      <c r="AY174" s="82">
        <f>AY$34/Population!BG$49</f>
        <v>0.82394736842105265</v>
      </c>
      <c r="AZ174" s="82">
        <f>AZ$34/Population!BH$49</f>
        <v>0.82373059721126018</v>
      </c>
      <c r="BA174" s="82">
        <f>BA$34/Population!BI$49</f>
        <v>0.82371541501976286</v>
      </c>
      <c r="BB174" s="82">
        <f>BB$34/Population!BJ$49</f>
        <v>0.82373150105708248</v>
      </c>
      <c r="BC174" s="82">
        <f>BC$34/Population!BK$49</f>
        <v>0.82382594852746083</v>
      </c>
      <c r="BD174" s="82">
        <f>BD$34/Population!BL$49</f>
        <v>0.82373333333333332</v>
      </c>
    </row>
    <row r="175" spans="3:56" x14ac:dyDescent="0.2">
      <c r="C175" s="28">
        <v>40</v>
      </c>
      <c r="E175" s="82">
        <f>E$35/Population!M$50</f>
        <v>0.79369431117203559</v>
      </c>
      <c r="F175" s="82">
        <f>F$35/Population!N$50</f>
        <v>0.79633471645919773</v>
      </c>
      <c r="G175" s="82">
        <f>G$35/Population!O$50</f>
        <v>0.79913535084802123</v>
      </c>
      <c r="H175" s="82">
        <f>H$35/Population!P$50</f>
        <v>0.80158730158730163</v>
      </c>
      <c r="I175" s="82">
        <f>I$35/Population!Q$50</f>
        <v>0.80398562561254494</v>
      </c>
      <c r="J175" s="82">
        <f>J$35/Population!R$50</f>
        <v>0.80633914421553088</v>
      </c>
      <c r="K175" s="82">
        <f>K$35/Population!S$50</f>
        <v>0.80831265508684869</v>
      </c>
      <c r="L175" s="82">
        <f>L$35/Population!T$50</f>
        <v>0.81040779062690205</v>
      </c>
      <c r="M175" s="82">
        <f>M$35/Population!U$50</f>
        <v>0.81220518867924529</v>
      </c>
      <c r="N175" s="82">
        <f>N$35/Population!V$50</f>
        <v>0.81384525887143688</v>
      </c>
      <c r="O175" s="82">
        <f>O$35/Population!W$50</f>
        <v>0.81551480959097322</v>
      </c>
      <c r="P175" s="82">
        <f>P$35/Population!X$50</f>
        <v>0.81670224119530421</v>
      </c>
      <c r="Q175" s="82">
        <f>Q$35/Population!Y$50</f>
        <v>0.81806316888540853</v>
      </c>
      <c r="R175" s="82">
        <f>R$35/Population!Z$50</f>
        <v>0.81944444444444442</v>
      </c>
      <c r="S175" s="82">
        <f>S$35/Population!AA$50</f>
        <v>0.82064176245210729</v>
      </c>
      <c r="T175" s="82">
        <f>T$35/Population!AB$50</f>
        <v>0.82162818955042527</v>
      </c>
      <c r="U175" s="82">
        <f>U$35/Population!AC$50</f>
        <v>0.82295482295482292</v>
      </c>
      <c r="V175" s="82">
        <f>V$35/Population!AD$50</f>
        <v>0.82366239638281835</v>
      </c>
      <c r="W175" s="82">
        <f>W$35/Population!AE$50</f>
        <v>0.82457476516882455</v>
      </c>
      <c r="X175" s="82">
        <f>X$35/Population!AF$50</f>
        <v>0.82530590991929187</v>
      </c>
      <c r="Y175" s="82">
        <f>Y$35/Population!AG$50</f>
        <v>0.82586933614330871</v>
      </c>
      <c r="Z175" s="82">
        <f>Z$35/Population!AH$50</f>
        <v>0.82665576451349143</v>
      </c>
      <c r="AA175" s="82">
        <f>AA$35/Population!AI$50</f>
        <v>0.82713963963963966</v>
      </c>
      <c r="AB175" s="82">
        <f>AB$35/Population!AJ$50</f>
        <v>0.82756711873789091</v>
      </c>
      <c r="AC175" s="82">
        <f>AC$35/Population!AK$50</f>
        <v>0.82805429864253388</v>
      </c>
      <c r="AD175" s="82">
        <f>AD$35/Population!AL$50</f>
        <v>0.82837798057109213</v>
      </c>
      <c r="AE175" s="82">
        <f>AE$35/Population!AM$50</f>
        <v>0.82897085068411658</v>
      </c>
      <c r="AF175" s="82">
        <f>AF$35/Population!AN$50</f>
        <v>0.82932551319648096</v>
      </c>
      <c r="AG175" s="82">
        <f>AG$35/Population!AO$50</f>
        <v>0.82955549013835739</v>
      </c>
      <c r="AH175" s="82">
        <f>AH$35/Population!AP$50</f>
        <v>0.83001443001442998</v>
      </c>
      <c r="AI175" s="82">
        <f>AI$35/Population!AQ$50</f>
        <v>0.83022543835235174</v>
      </c>
      <c r="AJ175" s="82">
        <f>AJ$35/Population!AR$50</f>
        <v>0.83010231556273562</v>
      </c>
      <c r="AK175" s="82">
        <f>AK$35/Population!AS$50</f>
        <v>0.83038869257950532</v>
      </c>
      <c r="AL175" s="82">
        <f>AL$35/Population!AT$50</f>
        <v>0.83058948486457784</v>
      </c>
      <c r="AM175" s="82">
        <f>AM$35/Population!AU$50</f>
        <v>0.83064516129032262</v>
      </c>
      <c r="AN175" s="82">
        <f>AN$35/Population!AV$50</f>
        <v>0.83088235294117652</v>
      </c>
      <c r="AO175" s="82">
        <f>AO$35/Population!AW$50</f>
        <v>0.83090057835307074</v>
      </c>
      <c r="AP175" s="82">
        <f>AP$35/Population!AX$50</f>
        <v>0.83074314778185931</v>
      </c>
      <c r="AQ175" s="82">
        <f>AQ$35/Population!AY$50</f>
        <v>0.83097395243488104</v>
      </c>
      <c r="AR175" s="82">
        <f>AR$35/Population!AZ$50</f>
        <v>0.83092608326253181</v>
      </c>
      <c r="AS175" s="82">
        <f>AS$35/Population!BA$50</f>
        <v>0.83114341627061783</v>
      </c>
      <c r="AT175" s="82">
        <f>AT$35/Population!BB$50</f>
        <v>0.83104017611447445</v>
      </c>
      <c r="AU175" s="82">
        <f>AU$35/Population!BC$50</f>
        <v>0.83120759837177749</v>
      </c>
      <c r="AV175" s="82">
        <f>AV$35/Population!BD$50</f>
        <v>0.83105390185036199</v>
      </c>
      <c r="AW175" s="82">
        <f>AW$35/Population!BE$50</f>
        <v>0.83125166090884928</v>
      </c>
      <c r="AX175" s="82">
        <f>AX$35/Population!BF$50</f>
        <v>0.83100079218378664</v>
      </c>
      <c r="AY175" s="82">
        <f>AY$35/Population!BG$50</f>
        <v>0.83109707971586422</v>
      </c>
      <c r="AZ175" s="82">
        <f>AZ$35/Population!BH$50</f>
        <v>0.83114495798319332</v>
      </c>
      <c r="BA175" s="82">
        <f>BA$35/Population!BI$50</f>
        <v>0.83092675242845893</v>
      </c>
      <c r="BB175" s="82">
        <f>BB$35/Population!BJ$50</f>
        <v>0.83118590586379171</v>
      </c>
      <c r="BC175" s="82">
        <f>BC$35/Population!BK$50</f>
        <v>0.83122362869198307</v>
      </c>
      <c r="BD175" s="82">
        <f>BD$35/Population!BL$50</f>
        <v>0.83108287000264758</v>
      </c>
    </row>
    <row r="176" spans="3:56" x14ac:dyDescent="0.2">
      <c r="C176" s="28">
        <v>41</v>
      </c>
      <c r="E176" s="82">
        <f>E$36/Population!M$51</f>
        <v>0.8038474750944693</v>
      </c>
      <c r="F176" s="82">
        <f>F$36/Population!N$51</f>
        <v>0.8066712049012934</v>
      </c>
      <c r="G176" s="82">
        <f>G$36/Population!O$51</f>
        <v>0.80949105914718023</v>
      </c>
      <c r="H176" s="82">
        <f>H$36/Population!P$51</f>
        <v>0.81185823120238487</v>
      </c>
      <c r="I176" s="82">
        <f>I$36/Population!Q$51</f>
        <v>0.81437520606660074</v>
      </c>
      <c r="J176" s="82">
        <f>J$36/Population!R$51</f>
        <v>0.81637312459230271</v>
      </c>
      <c r="K176" s="82">
        <f>K$36/Population!S$51</f>
        <v>0.81835443037974687</v>
      </c>
      <c r="L176" s="82">
        <f>L$36/Population!T$51</f>
        <v>0.82006813254877675</v>
      </c>
      <c r="M176" s="82">
        <f>M$36/Population!U$51</f>
        <v>0.82168894289185901</v>
      </c>
      <c r="N176" s="82">
        <f>N$36/Population!V$51</f>
        <v>0.82342554443790461</v>
      </c>
      <c r="O176" s="82">
        <f>O$36/Population!W$51</f>
        <v>0.82515248329944813</v>
      </c>
      <c r="P176" s="82">
        <f>P$36/Population!X$51</f>
        <v>0.82624612785130946</v>
      </c>
      <c r="Q176" s="82">
        <f>Q$36/Population!Y$51</f>
        <v>0.82787103650413008</v>
      </c>
      <c r="R176" s="82">
        <f>R$36/Population!Z$51</f>
        <v>0.82898852971845671</v>
      </c>
      <c r="S176" s="82">
        <f>S$36/Population!AA$51</f>
        <v>0.83007183552142683</v>
      </c>
      <c r="T176" s="82">
        <f>T$36/Population!AB$51</f>
        <v>0.83114087538866299</v>
      </c>
      <c r="U176" s="82">
        <f>U$36/Population!AC$51</f>
        <v>0.83203883495145636</v>
      </c>
      <c r="V176" s="82">
        <f>V$36/Population!AD$51</f>
        <v>0.83296756888563761</v>
      </c>
      <c r="W176" s="82">
        <f>W$36/Population!AE$51</f>
        <v>0.83370955605718589</v>
      </c>
      <c r="X176" s="82">
        <f>X$36/Population!AF$51</f>
        <v>0.83447401774397967</v>
      </c>
      <c r="Y176" s="82">
        <f>Y$36/Population!AG$51</f>
        <v>0.83541341653666146</v>
      </c>
      <c r="Z176" s="82">
        <f>Z$36/Population!AH$51</f>
        <v>0.83583267561168118</v>
      </c>
      <c r="AA176" s="82">
        <f>AA$36/Population!AI$51</f>
        <v>0.83641807294501902</v>
      </c>
      <c r="AB176" s="82">
        <f>AB$36/Population!AJ$51</f>
        <v>0.83694124262018554</v>
      </c>
      <c r="AC176" s="82">
        <f>AC$36/Population!AK$51</f>
        <v>0.83724785852445427</v>
      </c>
      <c r="AD176" s="82">
        <f>AD$36/Population!AL$51</f>
        <v>0.83766233766233766</v>
      </c>
      <c r="AE176" s="82">
        <f>AE$36/Population!AM$51</f>
        <v>0.83808404349103727</v>
      </c>
      <c r="AF176" s="82">
        <f>AF$36/Population!AN$51</f>
        <v>0.83818289786223277</v>
      </c>
      <c r="AG176" s="82">
        <f>AG$36/Population!AO$51</f>
        <v>0.83870023419203743</v>
      </c>
      <c r="AH176" s="82">
        <f>AH$36/Population!AP$51</f>
        <v>0.83896561857184837</v>
      </c>
      <c r="AI176" s="82">
        <f>AI$36/Population!AQ$51</f>
        <v>0.83923941227312016</v>
      </c>
      <c r="AJ176" s="82">
        <f>AJ$36/Population!AR$51</f>
        <v>0.83939983328702417</v>
      </c>
      <c r="AK176" s="82">
        <f>AK$36/Population!AS$51</f>
        <v>0.83951612903225803</v>
      </c>
      <c r="AL176" s="82">
        <f>AL$36/Population!AT$51</f>
        <v>0.83962008141112621</v>
      </c>
      <c r="AM176" s="82">
        <f>AM$36/Population!AU$51</f>
        <v>0.83987274655355248</v>
      </c>
      <c r="AN176" s="82">
        <f>AN$36/Population!AV$51</f>
        <v>0.83977455716586147</v>
      </c>
      <c r="AO176" s="82">
        <f>AO$36/Population!AW$51</f>
        <v>0.83990214732264201</v>
      </c>
      <c r="AP176" s="82">
        <f>AP$36/Population!AX$51</f>
        <v>0.840021990104453</v>
      </c>
      <c r="AQ176" s="82">
        <f>AQ$36/Population!AY$51</f>
        <v>0.84005641748942173</v>
      </c>
      <c r="AR176" s="82">
        <f>AR$36/Population!AZ$51</f>
        <v>0.84002261164499714</v>
      </c>
      <c r="AS176" s="82">
        <f>AS$36/Population!BA$51</f>
        <v>0.84026010743567991</v>
      </c>
      <c r="AT176" s="82">
        <f>AT$36/Population!BB$51</f>
        <v>0.8401227678571429</v>
      </c>
      <c r="AU176" s="82">
        <f>AU$36/Population!BC$51</f>
        <v>0.84015380390002747</v>
      </c>
      <c r="AV176" s="82">
        <f>AV$36/Population!BD$51</f>
        <v>0.84019501625135429</v>
      </c>
      <c r="AW176" s="82">
        <f>AW$36/Population!BE$51</f>
        <v>0.84042838018741628</v>
      </c>
      <c r="AX176" s="82">
        <f>AX$36/Population!BF$51</f>
        <v>0.84005305039787803</v>
      </c>
      <c r="AY176" s="82">
        <f>AY$36/Population!BG$51</f>
        <v>0.84023200632744532</v>
      </c>
      <c r="AZ176" s="82">
        <f>AZ$36/Population!BH$51</f>
        <v>0.84029419490412394</v>
      </c>
      <c r="BA176" s="82">
        <f>BA$36/Population!BI$51</f>
        <v>0.84010484927916118</v>
      </c>
      <c r="BB176" s="82">
        <f>BB$36/Population!BJ$51</f>
        <v>0.84036697247706427</v>
      </c>
      <c r="BC176" s="82">
        <f>BC$36/Population!BK$51</f>
        <v>0.84015748031496063</v>
      </c>
      <c r="BD176" s="82">
        <f>BD$36/Population!BL$51</f>
        <v>0.84022111081863649</v>
      </c>
    </row>
    <row r="177" spans="3:56" x14ac:dyDescent="0.2">
      <c r="C177" s="28">
        <v>42</v>
      </c>
      <c r="E177" s="82">
        <f>E$37/Population!M$52</f>
        <v>0.81333769205622752</v>
      </c>
      <c r="F177" s="82">
        <f>F$37/Population!N$52</f>
        <v>0.81591530054644812</v>
      </c>
      <c r="G177" s="82">
        <f>G$37/Population!O$52</f>
        <v>0.81842818428184283</v>
      </c>
      <c r="H177" s="82">
        <f>H$37/Population!P$52</f>
        <v>0.82082905104487836</v>
      </c>
      <c r="I177" s="82">
        <f>I$37/Population!Q$52</f>
        <v>0.8229269904195573</v>
      </c>
      <c r="J177" s="82">
        <f>J$37/Population!R$52</f>
        <v>0.82515640434639448</v>
      </c>
      <c r="K177" s="82">
        <f>K$37/Population!S$52</f>
        <v>0.82703583061889252</v>
      </c>
      <c r="L177" s="82">
        <f>L$37/Population!T$52</f>
        <v>0.82901390644753481</v>
      </c>
      <c r="M177" s="82">
        <f>M$37/Population!U$52</f>
        <v>0.83049798948345188</v>
      </c>
      <c r="N177" s="82">
        <f>N$37/Population!V$52</f>
        <v>0.83222087378640774</v>
      </c>
      <c r="O177" s="82">
        <f>O$37/Population!W$52</f>
        <v>0.83362727807172254</v>
      </c>
      <c r="P177" s="82">
        <f>P$37/Population!X$52</f>
        <v>0.83521903104148532</v>
      </c>
      <c r="Q177" s="82">
        <f>Q$37/Population!Y$52</f>
        <v>0.83628691983122361</v>
      </c>
      <c r="R177" s="82">
        <f>R$37/Population!Z$52</f>
        <v>0.83737024221453282</v>
      </c>
      <c r="S177" s="82">
        <f>S$37/Population!AA$52</f>
        <v>0.83854166666666663</v>
      </c>
      <c r="T177" s="82">
        <f>T$37/Population!AB$52</f>
        <v>0.83964365256124718</v>
      </c>
      <c r="U177" s="82">
        <f>U$37/Population!AC$52</f>
        <v>0.84062126642771806</v>
      </c>
      <c r="V177" s="82">
        <f>V$37/Population!AD$52</f>
        <v>0.84141610087293894</v>
      </c>
      <c r="W177" s="82">
        <f>W$37/Population!AE$52</f>
        <v>0.84214372716199759</v>
      </c>
      <c r="X177" s="82">
        <f>X$37/Population!AF$52</f>
        <v>0.84289651716361813</v>
      </c>
      <c r="Y177" s="82">
        <f>Y$37/Population!AG$52</f>
        <v>0.84350468473031148</v>
      </c>
      <c r="Z177" s="82">
        <f>Z$37/Population!AH$52</f>
        <v>0.84419631264606598</v>
      </c>
      <c r="AA177" s="82">
        <f>AA$37/Population!AI$52</f>
        <v>0.84471886495007886</v>
      </c>
      <c r="AB177" s="82">
        <f>AB$37/Population!AJ$52</f>
        <v>0.84506659418320196</v>
      </c>
      <c r="AC177" s="82">
        <f>AC$37/Population!AK$52</f>
        <v>0.84559236384053904</v>
      </c>
      <c r="AD177" s="82">
        <f>AD$37/Population!AL$52</f>
        <v>0.84598399116754075</v>
      </c>
      <c r="AE177" s="82">
        <f>AE$37/Population!AM$52</f>
        <v>0.84630569655950372</v>
      </c>
      <c r="AF177" s="82">
        <f>AF$37/Population!AN$52</f>
        <v>0.846537558685446</v>
      </c>
      <c r="AG177" s="82">
        <f>AG$37/Population!AO$52</f>
        <v>0.84697508896797158</v>
      </c>
      <c r="AH177" s="82">
        <f>AH$37/Population!AP$52</f>
        <v>0.84712072493422974</v>
      </c>
      <c r="AI177" s="82">
        <f>AI$37/Population!AQ$52</f>
        <v>0.84741784037558687</v>
      </c>
      <c r="AJ177" s="82">
        <f>AJ$37/Population!AR$52</f>
        <v>0.84752589182968929</v>
      </c>
      <c r="AK177" s="82">
        <f>AK$37/Population!AS$52</f>
        <v>0.8479467258601554</v>
      </c>
      <c r="AL177" s="82">
        <f>AL$37/Population!AT$52</f>
        <v>0.84778523489932889</v>
      </c>
      <c r="AM177" s="82">
        <f>AM$37/Population!AU$52</f>
        <v>0.84819734345351039</v>
      </c>
      <c r="AN177" s="82">
        <f>AN$37/Population!AV$52</f>
        <v>0.8480275350807519</v>
      </c>
      <c r="AO177" s="82">
        <f>AO$37/Population!AW$52</f>
        <v>0.84803001876172612</v>
      </c>
      <c r="AP177" s="82">
        <f>AP$37/Population!AX$52</f>
        <v>0.84799131378935944</v>
      </c>
      <c r="AQ177" s="82">
        <f>AQ$37/Population!AY$52</f>
        <v>0.84820203129289051</v>
      </c>
      <c r="AR177" s="82">
        <f>AR$37/Population!AZ$52</f>
        <v>0.84845070422535207</v>
      </c>
      <c r="AS177" s="82">
        <f>AS$37/Population!BA$52</f>
        <v>0.84843353090601181</v>
      </c>
      <c r="AT177" s="82">
        <f>AT$37/Population!BB$52</f>
        <v>0.84839073969508749</v>
      </c>
      <c r="AU177" s="82">
        <f>AU$37/Population!BC$52</f>
        <v>0.84842574533296178</v>
      </c>
      <c r="AV177" s="82">
        <f>AV$37/Population!BD$52</f>
        <v>0.8483269336258914</v>
      </c>
      <c r="AW177" s="82">
        <f>AW$37/Population!BE$52</f>
        <v>0.84852583175547747</v>
      </c>
      <c r="AX177" s="82">
        <f>AX$37/Population!BF$52</f>
        <v>0.84843624699278264</v>
      </c>
      <c r="AY177" s="82">
        <f>AY$37/Population!BG$52</f>
        <v>0.84847682119205303</v>
      </c>
      <c r="AZ177" s="82">
        <f>AZ$37/Population!BH$52</f>
        <v>0.84860452869931546</v>
      </c>
      <c r="BA177" s="82">
        <f>BA$37/Population!BI$52</f>
        <v>0.84841332284290583</v>
      </c>
      <c r="BB177" s="82">
        <f>BB$37/Population!BJ$52</f>
        <v>0.84842931937172772</v>
      </c>
      <c r="BC177" s="82">
        <f>BC$37/Population!BK$52</f>
        <v>0.84842931937172772</v>
      </c>
      <c r="BD177" s="82">
        <f>BD$37/Population!BL$52</f>
        <v>0.84849279161205771</v>
      </c>
    </row>
    <row r="178" spans="3:56" x14ac:dyDescent="0.2">
      <c r="C178" s="28">
        <v>43</v>
      </c>
      <c r="E178" s="82">
        <f>E$38/Population!M$53</f>
        <v>0.82092365692742697</v>
      </c>
      <c r="F178" s="82">
        <f>F$38/Population!N$53</f>
        <v>0.82368249837345475</v>
      </c>
      <c r="G178" s="82">
        <f>G$38/Population!O$53</f>
        <v>0.82619047619047614</v>
      </c>
      <c r="H178" s="82">
        <f>H$38/Population!P$53</f>
        <v>0.82843633907463698</v>
      </c>
      <c r="I178" s="82">
        <f>I$38/Population!Q$53</f>
        <v>0.83105335157318738</v>
      </c>
      <c r="J178" s="82">
        <f>J$38/Population!R$53</f>
        <v>0.83294816771211622</v>
      </c>
      <c r="K178" s="82">
        <f>K$38/Population!S$53</f>
        <v>0.83519736842105263</v>
      </c>
      <c r="L178" s="82">
        <f>L$38/Population!T$53</f>
        <v>0.83696713309469573</v>
      </c>
      <c r="M178" s="82">
        <f>M$38/Population!U$53</f>
        <v>0.83864856330912541</v>
      </c>
      <c r="N178" s="82">
        <f>N$38/Population!V$53</f>
        <v>0.84023485784919649</v>
      </c>
      <c r="O178" s="82">
        <f>O$38/Population!W$53</f>
        <v>0.84172225591267436</v>
      </c>
      <c r="P178" s="82">
        <f>P$38/Population!X$53</f>
        <v>0.84312573443008221</v>
      </c>
      <c r="Q178" s="82">
        <f>Q$38/Population!Y$53</f>
        <v>0.84434782608695658</v>
      </c>
      <c r="R178" s="82">
        <f>R$38/Population!Z$53</f>
        <v>0.8456564520663481</v>
      </c>
      <c r="S178" s="82">
        <f>S$38/Population!AA$53</f>
        <v>0.84676775738228249</v>
      </c>
      <c r="T178" s="82">
        <f>T$38/Population!AB$53</f>
        <v>0.8477355543987507</v>
      </c>
      <c r="U178" s="82">
        <f>U$38/Population!AC$53</f>
        <v>0.84887459807073951</v>
      </c>
      <c r="V178" s="82">
        <f>V$38/Population!AD$53</f>
        <v>0.84977310723668498</v>
      </c>
      <c r="W178" s="82">
        <f>W$38/Population!AE$53</f>
        <v>0.85046049442559379</v>
      </c>
      <c r="X178" s="82">
        <f>X$38/Population!AF$53</f>
        <v>0.85122960798636471</v>
      </c>
      <c r="Y178" s="82">
        <f>Y$38/Population!AG$53</f>
        <v>0.85177766649974962</v>
      </c>
      <c r="Z178" s="82">
        <f>Z$38/Population!AH$53</f>
        <v>0.85222672064777327</v>
      </c>
      <c r="AA178" s="82">
        <f>AA$38/Population!AI$53</f>
        <v>0.85288012454592632</v>
      </c>
      <c r="AB178" s="82">
        <f>AB$38/Population!AJ$53</f>
        <v>0.85350485691782618</v>
      </c>
      <c r="AC178" s="82">
        <f>AC$38/Population!AK$53</f>
        <v>0.85388375882672463</v>
      </c>
      <c r="AD178" s="82">
        <f>AD$38/Population!AL$53</f>
        <v>0.85441795231416551</v>
      </c>
      <c r="AE178" s="82">
        <f>AE$38/Population!AM$53</f>
        <v>0.85470085470085466</v>
      </c>
      <c r="AF178" s="82">
        <f>AF$38/Population!AN$53</f>
        <v>0.8549295774647887</v>
      </c>
      <c r="AG178" s="82">
        <f>AG$38/Population!AO$53</f>
        <v>0.85517443564936968</v>
      </c>
      <c r="AH178" s="82">
        <f>AH$38/Population!AP$53</f>
        <v>0.85545023696682465</v>
      </c>
      <c r="AI178" s="82">
        <f>AI$38/Population!AQ$53</f>
        <v>0.85572429906542058</v>
      </c>
      <c r="AJ178" s="82">
        <f>AJ$38/Population!AR$53</f>
        <v>0.85580304806565066</v>
      </c>
      <c r="AK178" s="82">
        <f>AK$38/Population!AS$53</f>
        <v>0.85603448275862071</v>
      </c>
      <c r="AL178" s="82">
        <f>AL$38/Population!AT$53</f>
        <v>0.85615299334811534</v>
      </c>
      <c r="AM178" s="82">
        <f>AM$38/Population!AU$53</f>
        <v>0.85622317596566522</v>
      </c>
      <c r="AN178" s="82">
        <f>AN$38/Population!AV$53</f>
        <v>0.85648524235039258</v>
      </c>
      <c r="AO178" s="82">
        <f>AO$38/Population!AW$53</f>
        <v>0.85661375661375661</v>
      </c>
      <c r="AP178" s="82">
        <f>AP$38/Population!AX$53</f>
        <v>0.8567220139260846</v>
      </c>
      <c r="AQ178" s="82">
        <f>AQ$38/Population!AY$53</f>
        <v>0.85679414157851908</v>
      </c>
      <c r="AR178" s="82">
        <f>AR$38/Population!AZ$53</f>
        <v>0.85682940208447611</v>
      </c>
      <c r="AS178" s="82">
        <f>AS$38/Population!BA$53</f>
        <v>0.85678109172763084</v>
      </c>
      <c r="AT178" s="82">
        <f>AT$38/Population!BB$53</f>
        <v>0.85678037778404281</v>
      </c>
      <c r="AU178" s="82">
        <f>AU$38/Population!BC$53</f>
        <v>0.85673998871968415</v>
      </c>
      <c r="AV178" s="82">
        <f>AV$38/Population!BD$53</f>
        <v>0.85666573893682163</v>
      </c>
      <c r="AW178" s="82">
        <f>AW$38/Population!BE$53</f>
        <v>0.85671232876712333</v>
      </c>
      <c r="AX178" s="82">
        <f>AX$38/Population!BF$53</f>
        <v>0.85679546068630097</v>
      </c>
      <c r="AY178" s="82">
        <f>AY$38/Population!BG$53</f>
        <v>0.85660881174899861</v>
      </c>
      <c r="AZ178" s="82">
        <f>AZ$38/Population!BH$53</f>
        <v>0.85684043397724263</v>
      </c>
      <c r="BA178" s="82">
        <f>BA$38/Population!BI$53</f>
        <v>0.8569174118884797</v>
      </c>
      <c r="BB178" s="82">
        <f>BB$38/Population!BJ$53</f>
        <v>0.85669373853811892</v>
      </c>
      <c r="BC178" s="82">
        <f>BC$38/Population!BK$53</f>
        <v>0.85669456066945604</v>
      </c>
      <c r="BD178" s="82">
        <f>BD$38/Population!BL$53</f>
        <v>0.85695606694560666</v>
      </c>
    </row>
    <row r="179" spans="3:56" x14ac:dyDescent="0.2">
      <c r="C179" s="28">
        <v>44</v>
      </c>
      <c r="E179" s="82">
        <f>E$39/Population!M$54</f>
        <v>0.82827669902912626</v>
      </c>
      <c r="F179" s="82">
        <f>F$39/Population!N$54</f>
        <v>0.83129890453834121</v>
      </c>
      <c r="G179" s="82">
        <f>G$39/Population!O$54</f>
        <v>0.83392799221537461</v>
      </c>
      <c r="H179" s="82">
        <f>H$39/Population!P$54</f>
        <v>0.83672776646300073</v>
      </c>
      <c r="I179" s="82">
        <f>I$39/Population!Q$54</f>
        <v>0.83906882591093113</v>
      </c>
      <c r="J179" s="82">
        <f>J$39/Population!R$54</f>
        <v>0.84136752136752135</v>
      </c>
      <c r="K179" s="82">
        <f>K$39/Population!S$54</f>
        <v>0.84356435643564354</v>
      </c>
      <c r="L179" s="82">
        <f>L$39/Population!T$54</f>
        <v>0.84544557711279189</v>
      </c>
      <c r="M179" s="82">
        <f>M$39/Population!U$54</f>
        <v>0.84743005855562781</v>
      </c>
      <c r="N179" s="82">
        <f>N$39/Population!V$54</f>
        <v>0.84911616161616166</v>
      </c>
      <c r="O179" s="82">
        <f>O$39/Population!W$54</f>
        <v>0.85047883843064565</v>
      </c>
      <c r="P179" s="82">
        <f>P$39/Population!X$54</f>
        <v>0.85237950894210368</v>
      </c>
      <c r="Q179" s="82">
        <f>Q$39/Population!Y$54</f>
        <v>0.85374449339207048</v>
      </c>
      <c r="R179" s="82">
        <f>R$39/Population!Z$54</f>
        <v>0.85507246376811596</v>
      </c>
      <c r="S179" s="82">
        <f>S$39/Population!AA$54</f>
        <v>0.85609893198426079</v>
      </c>
      <c r="T179" s="82">
        <f>T$39/Population!AB$54</f>
        <v>0.8571808510638298</v>
      </c>
      <c r="U179" s="82">
        <f>U$39/Population!AC$54</f>
        <v>0.85818371064272703</v>
      </c>
      <c r="V179" s="82">
        <f>V$39/Population!AD$54</f>
        <v>0.85905044510385753</v>
      </c>
      <c r="W179" s="82">
        <f>W$39/Population!AE$54</f>
        <v>0.86007640878701053</v>
      </c>
      <c r="X179" s="82">
        <f>X$39/Population!AF$54</f>
        <v>0.86067361279379695</v>
      </c>
      <c r="Y179" s="82">
        <f>Y$39/Population!AG$54</f>
        <v>0.86148977604673804</v>
      </c>
      <c r="Z179" s="82">
        <f>Z$39/Population!AH$54</f>
        <v>0.86229344016024034</v>
      </c>
      <c r="AA179" s="82">
        <f>AA$39/Population!AI$54</f>
        <v>0.86285425101214575</v>
      </c>
      <c r="AB179" s="82">
        <f>AB$39/Population!AJ$54</f>
        <v>0.8632944228274968</v>
      </c>
      <c r="AC179" s="82">
        <f>AC$39/Population!AK$54</f>
        <v>0.86377952755905507</v>
      </c>
      <c r="AD179" s="82">
        <f>AD$39/Population!AL$54</f>
        <v>0.86424110779256036</v>
      </c>
      <c r="AE179" s="82">
        <f>AE$39/Population!AM$54</f>
        <v>0.86459209419680405</v>
      </c>
      <c r="AF179" s="82">
        <f>AF$39/Population!AN$54</f>
        <v>0.86493936052921716</v>
      </c>
      <c r="AG179" s="82">
        <f>AG$39/Population!AO$54</f>
        <v>0.86510842016333422</v>
      </c>
      <c r="AH179" s="82">
        <f>AH$39/Population!AP$54</f>
        <v>0.86551421037210663</v>
      </c>
      <c r="AI179" s="82">
        <f>AI$39/Population!AQ$54</f>
        <v>0.86560094730609827</v>
      </c>
      <c r="AJ179" s="82">
        <f>AJ$39/Population!AR$54</f>
        <v>0.86602451838879158</v>
      </c>
      <c r="AK179" s="82">
        <f>AK$39/Population!AS$54</f>
        <v>0.86613942589338022</v>
      </c>
      <c r="AL179" s="82">
        <f>AL$39/Population!AT$54</f>
        <v>0.86616886846639862</v>
      </c>
      <c r="AM179" s="82">
        <f>AM$39/Population!AU$54</f>
        <v>0.86620498614958452</v>
      </c>
      <c r="AN179" s="82">
        <f>AN$39/Population!AV$54</f>
        <v>0.86648793565683646</v>
      </c>
      <c r="AO179" s="82">
        <f>AO$39/Population!AW$54</f>
        <v>0.86657645466847089</v>
      </c>
      <c r="AP179" s="82">
        <f>AP$39/Population!AX$54</f>
        <v>0.86673717609730305</v>
      </c>
      <c r="AQ179" s="82">
        <f>AQ$39/Population!AY$54</f>
        <v>0.86670235546038543</v>
      </c>
      <c r="AR179" s="82">
        <f>AR$39/Population!AZ$54</f>
        <v>0.86663052317701272</v>
      </c>
      <c r="AS179" s="82">
        <f>AS$39/Population!BA$54</f>
        <v>0.86677631578947367</v>
      </c>
      <c r="AT179" s="82">
        <f>AT$39/Population!BB$54</f>
        <v>0.86670416197975253</v>
      </c>
      <c r="AU179" s="82">
        <f>AU$39/Population!BC$54</f>
        <v>0.86672302056917438</v>
      </c>
      <c r="AV179" s="82">
        <f>AV$39/Population!BD$54</f>
        <v>0.86696730552423906</v>
      </c>
      <c r="AW179" s="82">
        <f>AW$39/Population!BE$54</f>
        <v>0.86675938803894292</v>
      </c>
      <c r="AX179" s="82">
        <f>AX$39/Population!BF$54</f>
        <v>0.86692223439211391</v>
      </c>
      <c r="AY179" s="82">
        <f>AY$39/Population!BG$54</f>
        <v>0.86686470429381579</v>
      </c>
      <c r="AZ179" s="82">
        <f>AZ$39/Population!BH$54</f>
        <v>0.8668267947691487</v>
      </c>
      <c r="BA179" s="82">
        <f>BA$39/Population!BI$54</f>
        <v>0.86696641100238037</v>
      </c>
      <c r="BB179" s="82">
        <f>BB$39/Population!BJ$54</f>
        <v>0.86675427069645206</v>
      </c>
      <c r="BC179" s="82">
        <f>BC$39/Population!BK$54</f>
        <v>0.86671903639696257</v>
      </c>
      <c r="BD179" s="82">
        <f>BD$39/Population!BL$54</f>
        <v>0.86696288552012546</v>
      </c>
    </row>
    <row r="180" spans="3:56" x14ac:dyDescent="0.2">
      <c r="C180" s="28">
        <v>45</v>
      </c>
      <c r="E180" s="82">
        <f>E$40/Population!M$55</f>
        <v>0.8348056537102474</v>
      </c>
      <c r="F180" s="82">
        <f>F$40/Population!N$55</f>
        <v>0.83807506053268765</v>
      </c>
      <c r="G180" s="82">
        <f>G$40/Population!O$55</f>
        <v>0.84098719150265544</v>
      </c>
      <c r="H180" s="82">
        <f>H$40/Population!P$55</f>
        <v>0.84386135406543572</v>
      </c>
      <c r="I180" s="82">
        <f>I$40/Population!Q$55</f>
        <v>0.84633649932157395</v>
      </c>
      <c r="J180" s="82">
        <f>J$40/Population!R$55</f>
        <v>0.84880188997637529</v>
      </c>
      <c r="K180" s="82">
        <f>K$40/Population!S$55</f>
        <v>0.85123119015047877</v>
      </c>
      <c r="L180" s="82">
        <f>L$40/Population!T$55</f>
        <v>0.85341696929679767</v>
      </c>
      <c r="M180" s="82">
        <f>M$40/Population!U$55</f>
        <v>0.85559210526315788</v>
      </c>
      <c r="N180" s="82">
        <f>N$40/Population!V$55</f>
        <v>0.85746827204685971</v>
      </c>
      <c r="O180" s="82">
        <f>O$40/Population!W$55</f>
        <v>0.8591727186611936</v>
      </c>
      <c r="P180" s="82">
        <f>P$40/Population!X$55</f>
        <v>0.86089644513137553</v>
      </c>
      <c r="Q180" s="82">
        <f>Q$40/Population!Y$55</f>
        <v>0.86234081261370532</v>
      </c>
      <c r="R180" s="82">
        <f>R$40/Population!Z$55</f>
        <v>0.86368977673325498</v>
      </c>
      <c r="S180" s="82">
        <f>S$40/Population!AA$55</f>
        <v>0.86517831255436362</v>
      </c>
      <c r="T180" s="82">
        <f>T$40/Population!AB$55</f>
        <v>0.86617936463311784</v>
      </c>
      <c r="U180" s="82">
        <f>U$40/Population!AC$55</f>
        <v>0.86725192870444268</v>
      </c>
      <c r="V180" s="82">
        <f>V$40/Population!AD$55</f>
        <v>0.86852382192137467</v>
      </c>
      <c r="W180" s="82">
        <f>W$40/Population!AE$55</f>
        <v>0.86937159821870358</v>
      </c>
      <c r="X180" s="82">
        <f>X$40/Population!AF$55</f>
        <v>0.87028189202102246</v>
      </c>
      <c r="Y180" s="82">
        <f>Y$40/Population!AG$55</f>
        <v>0.87103030303030304</v>
      </c>
      <c r="Z180" s="82">
        <f>Z$40/Population!AH$55</f>
        <v>0.87168249330411496</v>
      </c>
      <c r="AA180" s="82">
        <f>AA$40/Population!AI$55</f>
        <v>0.87252692211369898</v>
      </c>
      <c r="AB180" s="82">
        <f>AB$40/Population!AJ$55</f>
        <v>0.87272267206477738</v>
      </c>
      <c r="AC180" s="82">
        <f>AC$40/Population!AK$55</f>
        <v>0.87337830825116758</v>
      </c>
      <c r="AD180" s="82">
        <f>AD$40/Population!AL$55</f>
        <v>0.87398267261748486</v>
      </c>
      <c r="AE180" s="82">
        <f>AE$40/Population!AM$55</f>
        <v>0.87428726581591099</v>
      </c>
      <c r="AF180" s="82">
        <f>AF$40/Population!AN$55</f>
        <v>0.87464946719012904</v>
      </c>
      <c r="AG180" s="82">
        <f>AG$40/Population!AO$55</f>
        <v>0.8748621830209482</v>
      </c>
      <c r="AH180" s="82">
        <f>AH$40/Population!AP$55</f>
        <v>0.8752464094621234</v>
      </c>
      <c r="AI180" s="82">
        <f>AI$40/Population!AQ$55</f>
        <v>0.87573270808909731</v>
      </c>
      <c r="AJ180" s="82">
        <f>AJ$40/Population!AR$55</f>
        <v>0.87566607460035528</v>
      </c>
      <c r="AK180" s="82">
        <f>AK$40/Population!AS$55</f>
        <v>0.87594862813776997</v>
      </c>
      <c r="AL180" s="82">
        <f>AL$40/Population!AT$55</f>
        <v>0.87609841827768009</v>
      </c>
      <c r="AM180" s="82">
        <f>AM$40/Population!AU$55</f>
        <v>0.87622056289488803</v>
      </c>
      <c r="AN180" s="82">
        <f>AN$40/Population!AV$55</f>
        <v>0.87617728531855954</v>
      </c>
      <c r="AO180" s="82">
        <f>AO$40/Population!AW$55</f>
        <v>0.87640750670241285</v>
      </c>
      <c r="AP180" s="82">
        <f>AP$40/Population!AX$55</f>
        <v>0.8765899864682003</v>
      </c>
      <c r="AQ180" s="82">
        <f>AQ$40/Population!AY$55</f>
        <v>0.8767847699629826</v>
      </c>
      <c r="AR180" s="82">
        <f>AR$40/Population!AZ$55</f>
        <v>0.87660599571734477</v>
      </c>
      <c r="AS180" s="82">
        <f>AS$40/Population!BA$55</f>
        <v>0.87666034155597727</v>
      </c>
      <c r="AT180" s="82">
        <f>AT$40/Population!BB$55</f>
        <v>0.87667854206631957</v>
      </c>
      <c r="AU180" s="82">
        <f>AU$40/Population!BC$55</f>
        <v>0.87682789651293591</v>
      </c>
      <c r="AV180" s="82">
        <f>AV$40/Population!BD$55</f>
        <v>0.87686672302056923</v>
      </c>
      <c r="AW180" s="82">
        <f>AW$40/Population!BE$55</f>
        <v>0.87658495350803045</v>
      </c>
      <c r="AX180" s="82">
        <f>AX$40/Population!BF$55</f>
        <v>0.87677329624478439</v>
      </c>
      <c r="AY180" s="82">
        <f>AY$40/Population!BG$55</f>
        <v>0.8767798466593647</v>
      </c>
      <c r="AZ180" s="82">
        <f>AZ$40/Population!BH$55</f>
        <v>0.87661987041036715</v>
      </c>
      <c r="BA180" s="82">
        <f>BA$40/Population!BI$55</f>
        <v>0.87670136108887109</v>
      </c>
      <c r="BB180" s="82">
        <f>BB$40/Population!BJ$55</f>
        <v>0.8767847699629826</v>
      </c>
      <c r="BC180" s="82">
        <f>BC$40/Population!BK$55</f>
        <v>0.87674113009198418</v>
      </c>
      <c r="BD180" s="82">
        <f>BD$40/Population!BL$55</f>
        <v>0.87693113380466092</v>
      </c>
    </row>
    <row r="181" spans="3:56" x14ac:dyDescent="0.2">
      <c r="C181" s="28">
        <v>46</v>
      </c>
      <c r="E181" s="82">
        <f>E$41/Population!M$56</f>
        <v>0.83961992513676942</v>
      </c>
      <c r="F181" s="82">
        <f>F$41/Population!N$56</f>
        <v>0.84303350970017632</v>
      </c>
      <c r="G181" s="82">
        <f>G$41/Population!O$56</f>
        <v>0.84613059250302303</v>
      </c>
      <c r="H181" s="82">
        <f>H$41/Population!P$56</f>
        <v>0.84946908182386005</v>
      </c>
      <c r="I181" s="82">
        <f>I$41/Population!Q$56</f>
        <v>0.85191186001296171</v>
      </c>
      <c r="J181" s="82">
        <f>J$41/Population!R$56</f>
        <v>0.85466893039049241</v>
      </c>
      <c r="K181" s="82">
        <f>K$41/Population!S$56</f>
        <v>0.85743243243243239</v>
      </c>
      <c r="L181" s="82">
        <f>L$41/Population!T$56</f>
        <v>0.85963711057856895</v>
      </c>
      <c r="M181" s="82">
        <f>M$41/Population!U$56</f>
        <v>0.86186384666226046</v>
      </c>
      <c r="N181" s="82">
        <f>N$41/Population!V$56</f>
        <v>0.86401053671386241</v>
      </c>
      <c r="O181" s="82">
        <f>O$41/Population!W$56</f>
        <v>0.86579804560260587</v>
      </c>
      <c r="P181" s="82">
        <f>P$41/Population!X$56</f>
        <v>0.86757269279393168</v>
      </c>
      <c r="Q181" s="82">
        <f>Q$41/Population!Y$56</f>
        <v>0.86916176925456234</v>
      </c>
      <c r="R181" s="82">
        <f>R$41/Population!Z$56</f>
        <v>0.87101669195751141</v>
      </c>
      <c r="S181" s="82">
        <f>S$41/Population!AA$56</f>
        <v>0.87209644222287563</v>
      </c>
      <c r="T181" s="82">
        <f>T$41/Population!AB$56</f>
        <v>0.87351319988395704</v>
      </c>
      <c r="U181" s="82">
        <f>U$41/Population!AC$56</f>
        <v>0.87478897017445134</v>
      </c>
      <c r="V181" s="82">
        <f>V$41/Population!AD$56</f>
        <v>0.87566560170394037</v>
      </c>
      <c r="W181" s="82">
        <f>W$41/Population!AE$56</f>
        <v>0.87679083094555876</v>
      </c>
      <c r="X181" s="82">
        <f>X$41/Population!AF$56</f>
        <v>0.87769249814310468</v>
      </c>
      <c r="Y181" s="82">
        <f>Y$41/Population!AG$56</f>
        <v>0.87834608030592731</v>
      </c>
      <c r="Z181" s="82">
        <f>Z$41/Population!AH$56</f>
        <v>0.87921416444336653</v>
      </c>
      <c r="AA181" s="82">
        <f>AA$41/Population!AI$56</f>
        <v>0.87987329434697858</v>
      </c>
      <c r="AB181" s="82">
        <f>AB$41/Population!AJ$56</f>
        <v>0.88048108243547984</v>
      </c>
      <c r="AC181" s="82">
        <f>AC$41/Population!AK$56</f>
        <v>0.88123575588756642</v>
      </c>
      <c r="AD181" s="82">
        <f>AD$41/Population!AL$56</f>
        <v>0.88161993769470404</v>
      </c>
      <c r="AE181" s="82">
        <f>AE$41/Population!AM$56</f>
        <v>0.88205936432886789</v>
      </c>
      <c r="AF181" s="82">
        <f>AF$41/Population!AN$56</f>
        <v>0.88236892148872592</v>
      </c>
      <c r="AG181" s="82">
        <f>AG$41/Population!AO$56</f>
        <v>0.882996632996633</v>
      </c>
      <c r="AH181" s="82">
        <f>AH$41/Population!AP$56</f>
        <v>0.8830667402095973</v>
      </c>
      <c r="AI181" s="82">
        <f>AI$41/Population!AQ$56</f>
        <v>0.88362919132149897</v>
      </c>
      <c r="AJ181" s="82">
        <f>AJ$41/Population!AR$56</f>
        <v>0.88361184403400761</v>
      </c>
      <c r="AK181" s="82">
        <f>AK$41/Population!AS$56</f>
        <v>0.88388625592417058</v>
      </c>
      <c r="AL181" s="82">
        <f>AL$41/Population!AT$56</f>
        <v>0.88408759124087588</v>
      </c>
      <c r="AM181" s="82">
        <f>AM$41/Population!AU$56</f>
        <v>0.88423212192262601</v>
      </c>
      <c r="AN181" s="82">
        <f>AN$41/Population!AV$56</f>
        <v>0.8844827586206897</v>
      </c>
      <c r="AO181" s="82">
        <f>AO$41/Population!AW$56</f>
        <v>0.88442350332594233</v>
      </c>
      <c r="AP181" s="82">
        <f>AP$41/Population!AX$56</f>
        <v>0.88465665236051505</v>
      </c>
      <c r="AQ181" s="82">
        <f>AQ$41/Population!AY$56</f>
        <v>0.88464662875710809</v>
      </c>
      <c r="AR181" s="82">
        <f>AR$41/Population!AZ$56</f>
        <v>0.88468659084898171</v>
      </c>
      <c r="AS181" s="82">
        <f>AS$41/Population!BA$56</f>
        <v>0.88460508701472562</v>
      </c>
      <c r="AT181" s="82">
        <f>AT$41/Population!BB$56</f>
        <v>0.88476138828633411</v>
      </c>
      <c r="AU181" s="82">
        <f>AU$41/Population!BC$56</f>
        <v>0.88483685220729369</v>
      </c>
      <c r="AV181" s="82">
        <f>AV$41/Population!BD$56</f>
        <v>0.88466947960618847</v>
      </c>
      <c r="AW181" s="82">
        <f>AW$41/Population!BE$56</f>
        <v>0.88472378804960539</v>
      </c>
      <c r="AX181" s="82">
        <f>AX$41/Population!BF$56</f>
        <v>0.88472378804960539</v>
      </c>
      <c r="AY181" s="82">
        <f>AY$41/Population!BG$56</f>
        <v>0.88480801335559267</v>
      </c>
      <c r="AZ181" s="82">
        <f>AZ$41/Population!BH$56</f>
        <v>0.88496302382908787</v>
      </c>
      <c r="BA181" s="82">
        <f>BA$41/Population!BI$56</f>
        <v>0.88468809073724008</v>
      </c>
      <c r="BB181" s="82">
        <f>BB$41/Population!BJ$56</f>
        <v>0.88494394020288303</v>
      </c>
      <c r="BC181" s="82">
        <f>BC$41/Population!BK$56</f>
        <v>0.88468659084898171</v>
      </c>
      <c r="BD181" s="82">
        <f>BD$41/Population!BL$56</f>
        <v>0.8848580441640379</v>
      </c>
    </row>
    <row r="182" spans="3:56" x14ac:dyDescent="0.2">
      <c r="C182" s="28">
        <v>47</v>
      </c>
      <c r="E182" s="82">
        <f>E$42/Population!M$57</f>
        <v>0.842326139088729</v>
      </c>
      <c r="F182" s="82">
        <f>F$42/Population!N$57</f>
        <v>0.84608745684695053</v>
      </c>
      <c r="G182" s="82">
        <f>G$42/Population!O$57</f>
        <v>0.84925066118131065</v>
      </c>
      <c r="H182" s="82">
        <f>H$42/Population!P$57</f>
        <v>0.85243423042032052</v>
      </c>
      <c r="I182" s="82">
        <f>I$42/Population!Q$57</f>
        <v>0.85531250000000003</v>
      </c>
      <c r="J182" s="82">
        <f>J$42/Population!R$57</f>
        <v>0.85816293411230116</v>
      </c>
      <c r="K182" s="82">
        <f>K$42/Population!S$57</f>
        <v>0.86059163549812989</v>
      </c>
      <c r="L182" s="82">
        <f>L$42/Population!T$57</f>
        <v>0.86299052774018947</v>
      </c>
      <c r="M182" s="82">
        <f>M$42/Population!U$57</f>
        <v>0.86561535824477198</v>
      </c>
      <c r="N182" s="82">
        <f>N$42/Population!V$57</f>
        <v>0.86763732627399071</v>
      </c>
      <c r="O182" s="82">
        <f>O$42/Population!W$57</f>
        <v>0.86943620178041547</v>
      </c>
      <c r="P182" s="82">
        <f>P$42/Population!X$57</f>
        <v>0.87149380300065227</v>
      </c>
      <c r="Q182" s="82">
        <f>Q$42/Population!Y$57</f>
        <v>0.8731012658227848</v>
      </c>
      <c r="R182" s="82">
        <f>R$42/Population!Z$57</f>
        <v>0.87457417157014561</v>
      </c>
      <c r="S182" s="82">
        <f>S$42/Population!AA$57</f>
        <v>0.87602552415679125</v>
      </c>
      <c r="T182" s="82">
        <f>T$42/Population!AB$57</f>
        <v>0.87753900500441562</v>
      </c>
      <c r="U182" s="82">
        <f>U$42/Population!AC$57</f>
        <v>0.87859424920127793</v>
      </c>
      <c r="V182" s="82">
        <f>V$42/Population!AD$57</f>
        <v>0.87971830985915489</v>
      </c>
      <c r="W182" s="82">
        <f>W$42/Population!AE$57</f>
        <v>0.88086353944562901</v>
      </c>
      <c r="X182" s="82">
        <f>X$42/Population!AF$57</f>
        <v>0.88161668839634943</v>
      </c>
      <c r="Y182" s="82">
        <f>Y$42/Population!AG$57</f>
        <v>0.88252788104089219</v>
      </c>
      <c r="Z182" s="82">
        <f>Z$42/Population!AH$57</f>
        <v>0.88346494376645135</v>
      </c>
      <c r="AA182" s="82">
        <f>AA$42/Population!AI$57</f>
        <v>0.88416707139388051</v>
      </c>
      <c r="AB182" s="82">
        <f>AB$42/Population!AJ$57</f>
        <v>0.88463414634146342</v>
      </c>
      <c r="AC182" s="82">
        <f>AC$42/Population!AK$57</f>
        <v>0.88537747679959866</v>
      </c>
      <c r="AD182" s="82">
        <f>AD$42/Population!AL$57</f>
        <v>0.88570704510897114</v>
      </c>
      <c r="AE182" s="82">
        <f>AE$42/Population!AM$57</f>
        <v>0.88617463617463621</v>
      </c>
      <c r="AF182" s="82">
        <f>AF$42/Population!AN$57</f>
        <v>0.88669821240799163</v>
      </c>
      <c r="AG182" s="82">
        <f>AG$42/Population!AO$57</f>
        <v>0.88713625237965732</v>
      </c>
      <c r="AH182" s="82">
        <f>AH$42/Population!AP$57</f>
        <v>0.88739118225217639</v>
      </c>
      <c r="AI182" s="82">
        <f>AI$42/Population!AQ$57</f>
        <v>0.8876621584322385</v>
      </c>
      <c r="AJ182" s="82">
        <f>AJ$42/Population!AR$57</f>
        <v>0.88804286520022557</v>
      </c>
      <c r="AK182" s="82">
        <f>AK$42/Population!AS$57</f>
        <v>0.88820422535211263</v>
      </c>
      <c r="AL182" s="82">
        <f>AL$42/Population!AT$57</f>
        <v>0.88823006225911649</v>
      </c>
      <c r="AM182" s="82">
        <f>AM$42/Population!AU$57</f>
        <v>0.88836937463471655</v>
      </c>
      <c r="AN182" s="82">
        <f>AN$42/Population!AV$57</f>
        <v>0.88856304985337242</v>
      </c>
      <c r="AO182" s="82">
        <f>AO$42/Population!AW$57</f>
        <v>0.88844163312248414</v>
      </c>
      <c r="AP182" s="82">
        <f>AP$42/Population!AX$57</f>
        <v>0.88851913477537436</v>
      </c>
      <c r="AQ182" s="82">
        <f>AQ$42/Population!AY$57</f>
        <v>0.8886205045625335</v>
      </c>
      <c r="AR182" s="82">
        <f>AR$42/Population!AZ$57</f>
        <v>0.8889189921430507</v>
      </c>
      <c r="AS182" s="82">
        <f>AS$42/Population!BA$57</f>
        <v>0.88883006881948123</v>
      </c>
      <c r="AT182" s="82">
        <f>AT$42/Population!BB$57</f>
        <v>0.88906752411575563</v>
      </c>
      <c r="AU182" s="82">
        <f>AU$42/Population!BC$57</f>
        <v>0.88876831253391209</v>
      </c>
      <c r="AV182" s="82">
        <f>AV$42/Population!BD$57</f>
        <v>0.88888888888888884</v>
      </c>
      <c r="AW182" s="82">
        <f>AW$42/Population!BE$57</f>
        <v>0.88882634393470306</v>
      </c>
      <c r="AX182" s="82">
        <f>AX$42/Population!BF$57</f>
        <v>0.88888888888888884</v>
      </c>
      <c r="AY182" s="82">
        <f>AY$42/Population!BG$57</f>
        <v>0.88888888888888884</v>
      </c>
      <c r="AZ182" s="82">
        <f>AZ$42/Population!BH$57</f>
        <v>0.8889198218262806</v>
      </c>
      <c r="BA182" s="82">
        <f>BA$42/Population!BI$57</f>
        <v>0.88901068785968762</v>
      </c>
      <c r="BB182" s="82">
        <f>BB$42/Population!BJ$57</f>
        <v>0.88894893272088626</v>
      </c>
      <c r="BC182" s="82">
        <f>BC$42/Population!BK$57</f>
        <v>0.88915598290598286</v>
      </c>
      <c r="BD182" s="82">
        <f>BD$42/Population!BL$57</f>
        <v>0.88885948663667635</v>
      </c>
    </row>
    <row r="183" spans="3:56" x14ac:dyDescent="0.2">
      <c r="C183" s="28">
        <v>48</v>
      </c>
      <c r="E183" s="82">
        <f>E$43/Population!M$58</f>
        <v>0.8440311937612478</v>
      </c>
      <c r="F183" s="82">
        <f>F$43/Population!N$58</f>
        <v>0.84746778543602042</v>
      </c>
      <c r="G183" s="82">
        <f>G$43/Population!O$58</f>
        <v>0.85040276179516683</v>
      </c>
      <c r="H183" s="82">
        <f>H$43/Population!P$58</f>
        <v>0.85357247868274033</v>
      </c>
      <c r="I183" s="82">
        <f>I$43/Population!Q$58</f>
        <v>0.85649409627611262</v>
      </c>
      <c r="J183" s="82">
        <f>J$43/Population!R$58</f>
        <v>0.85911083281152156</v>
      </c>
      <c r="K183" s="82">
        <f>K$43/Population!S$58</f>
        <v>0.86183355006501949</v>
      </c>
      <c r="L183" s="82">
        <f>L$43/Population!T$58</f>
        <v>0.86405451448040882</v>
      </c>
      <c r="M183" s="82">
        <f>M$43/Population!U$58</f>
        <v>0.86614706879024062</v>
      </c>
      <c r="N183" s="82">
        <f>N$43/Population!V$58</f>
        <v>0.86847527472527475</v>
      </c>
      <c r="O183" s="82">
        <f>O$43/Population!W$58</f>
        <v>0.87040106065628109</v>
      </c>
      <c r="P183" s="82">
        <f>P$43/Population!X$58</f>
        <v>0.87219286657859973</v>
      </c>
      <c r="Q183" s="82">
        <f>Q$43/Population!Y$58</f>
        <v>0.8738974191440706</v>
      </c>
      <c r="R183" s="82">
        <f>R$43/Population!Z$58</f>
        <v>0.87511885895404118</v>
      </c>
      <c r="S183" s="82">
        <f>S$43/Population!AA$58</f>
        <v>0.87655086848635233</v>
      </c>
      <c r="T183" s="82">
        <f>T$43/Population!AB$58</f>
        <v>0.87770003042287803</v>
      </c>
      <c r="U183" s="82">
        <f>U$43/Population!AC$58</f>
        <v>0.879127358490566</v>
      </c>
      <c r="V183" s="82">
        <f>V$43/Population!AD$58</f>
        <v>0.88016288539848753</v>
      </c>
      <c r="W183" s="82">
        <f>W$43/Population!AE$58</f>
        <v>0.88124118476727786</v>
      </c>
      <c r="X183" s="82">
        <f>X$43/Population!AF$58</f>
        <v>0.88203896450493724</v>
      </c>
      <c r="Y183" s="82">
        <f>Y$43/Population!AG$58</f>
        <v>0.88302872062663185</v>
      </c>
      <c r="Z183" s="82">
        <f>Z$43/Population!AH$58</f>
        <v>0.88387096774193552</v>
      </c>
      <c r="AA183" s="82">
        <f>AA$43/Population!AI$58</f>
        <v>0.8845232390991854</v>
      </c>
      <c r="AB183" s="82">
        <f>AB$43/Population!AJ$58</f>
        <v>0.88524191587648915</v>
      </c>
      <c r="AC183" s="82">
        <f>AC$43/Population!AK$58</f>
        <v>0.88571428571428568</v>
      </c>
      <c r="AD183" s="82">
        <f>AD$43/Population!AL$58</f>
        <v>0.88623807132094423</v>
      </c>
      <c r="AE183" s="82">
        <f>AE$43/Population!AM$58</f>
        <v>0.88657701091093633</v>
      </c>
      <c r="AF183" s="82">
        <f>AF$43/Population!AN$58</f>
        <v>0.88683662851196665</v>
      </c>
      <c r="AG183" s="82">
        <f>AG$43/Population!AO$58</f>
        <v>0.88733877336141087</v>
      </c>
      <c r="AH183" s="82">
        <f>AH$43/Population!AP$58</f>
        <v>0.88755785461475634</v>
      </c>
      <c r="AI183" s="82">
        <f>AI$43/Population!AQ$58</f>
        <v>0.88782682035423111</v>
      </c>
      <c r="AJ183" s="82">
        <f>AJ$43/Population!AR$58</f>
        <v>0.88809063277148381</v>
      </c>
      <c r="AK183" s="82">
        <f>AK$43/Population!AS$58</f>
        <v>0.88848108413325799</v>
      </c>
      <c r="AL183" s="82">
        <f>AL$43/Population!AT$58</f>
        <v>0.88866039952996478</v>
      </c>
      <c r="AM183" s="82">
        <f>AM$43/Population!AU$58</f>
        <v>0.88872403560830859</v>
      </c>
      <c r="AN183" s="82">
        <f>AN$43/Population!AV$58</f>
        <v>0.88882387361029846</v>
      </c>
      <c r="AO183" s="82">
        <f>AO$43/Population!AW$58</f>
        <v>0.88901937756899585</v>
      </c>
      <c r="AP183" s="82">
        <f>AP$43/Population!AX$58</f>
        <v>0.88888888888888884</v>
      </c>
      <c r="AQ183" s="82">
        <f>AQ$43/Population!AY$58</f>
        <v>0.88895058300943919</v>
      </c>
      <c r="AR183" s="82">
        <f>AR$43/Population!AZ$58</f>
        <v>0.88903815153143473</v>
      </c>
      <c r="AS183" s="82">
        <f>AS$43/Population!BA$58</f>
        <v>0.88934092758340111</v>
      </c>
      <c r="AT183" s="82">
        <f>AT$43/Population!BB$58</f>
        <v>0.88900662251655627</v>
      </c>
      <c r="AU183" s="82">
        <f>AU$43/Population!BC$58</f>
        <v>0.88924644676857068</v>
      </c>
      <c r="AV183" s="82">
        <f>AV$43/Population!BD$58</f>
        <v>0.88919065725149371</v>
      </c>
      <c r="AW183" s="82">
        <f>AW$43/Population!BE$58</f>
        <v>0.88907193849533228</v>
      </c>
      <c r="AX183" s="82">
        <f>AX$43/Population!BF$58</f>
        <v>0.88929577464788734</v>
      </c>
      <c r="AY183" s="82">
        <f>AY$43/Population!BG$58</f>
        <v>0.88935930002822472</v>
      </c>
      <c r="AZ183" s="82">
        <f>AZ$43/Population!BH$58</f>
        <v>0.88907705334462317</v>
      </c>
      <c r="BA183" s="82">
        <f>BA$43/Population!BI$58</f>
        <v>0.88938422959041519</v>
      </c>
      <c r="BB183" s="82">
        <f>BB$43/Population!BJ$58</f>
        <v>0.8891936368623149</v>
      </c>
      <c r="BC183" s="82">
        <f>BC$43/Population!BK$58</f>
        <v>0.88912925905895079</v>
      </c>
      <c r="BD183" s="82">
        <f>BD$43/Population!BL$58</f>
        <v>0.88933440256615881</v>
      </c>
    </row>
    <row r="184" spans="3:56" x14ac:dyDescent="0.2">
      <c r="C184" s="28">
        <v>49</v>
      </c>
      <c r="E184" s="82">
        <f>E$44/Population!M$59</f>
        <v>0.84413202933985332</v>
      </c>
      <c r="F184" s="82">
        <f>F$44/Population!N$59</f>
        <v>0.84737631184407791</v>
      </c>
      <c r="G184" s="82">
        <f>G$44/Population!O$59</f>
        <v>0.85041966426858517</v>
      </c>
      <c r="H184" s="82">
        <f>H$44/Population!P$59</f>
        <v>0.85339861751152069</v>
      </c>
      <c r="I184" s="82">
        <f>I$44/Population!Q$59</f>
        <v>0.85600706713780916</v>
      </c>
      <c r="J184" s="82">
        <f>J$44/Population!R$59</f>
        <v>0.85865938732180769</v>
      </c>
      <c r="K184" s="82">
        <f>K$44/Population!S$59</f>
        <v>0.86104140526976158</v>
      </c>
      <c r="L184" s="82">
        <f>L$44/Population!T$59</f>
        <v>0.8631921824104235</v>
      </c>
      <c r="M184" s="82">
        <f>M$44/Population!U$59</f>
        <v>0.8651877133105802</v>
      </c>
      <c r="N184" s="82">
        <f>N$44/Population!V$59</f>
        <v>0.86723259762309002</v>
      </c>
      <c r="O184" s="82">
        <f>O$44/Population!W$59</f>
        <v>0.86893704850361198</v>
      </c>
      <c r="P184" s="82">
        <f>P$44/Population!X$59</f>
        <v>0.87051792828685259</v>
      </c>
      <c r="Q184" s="82">
        <f>Q$44/Population!Y$59</f>
        <v>0.87231227257691035</v>
      </c>
      <c r="R184" s="82">
        <f>R$44/Population!Z$59</f>
        <v>0.87369109947643975</v>
      </c>
      <c r="S184" s="82">
        <f>S$44/Population!AA$59</f>
        <v>0.87492063492063488</v>
      </c>
      <c r="T184" s="82">
        <f>T$44/Population!AB$59</f>
        <v>0.87635911773842812</v>
      </c>
      <c r="U184" s="82">
        <f>U$44/Population!AC$59</f>
        <v>0.87747637915269738</v>
      </c>
      <c r="V184" s="82">
        <f>V$44/Population!AD$59</f>
        <v>0.87835842928845587</v>
      </c>
      <c r="W184" s="82">
        <f>W$44/Population!AE$59</f>
        <v>0.87940576755024757</v>
      </c>
      <c r="X184" s="82">
        <f>X$44/Population!AF$59</f>
        <v>0.88022598870056501</v>
      </c>
      <c r="Y184" s="82">
        <f>Y$44/Population!AG$59</f>
        <v>0.88131515637530067</v>
      </c>
      <c r="Z184" s="82">
        <f>Z$44/Population!AH$59</f>
        <v>0.88179916317991636</v>
      </c>
      <c r="AA184" s="82">
        <f>AA$44/Population!AI$59</f>
        <v>0.88248447204968949</v>
      </c>
      <c r="AB184" s="82">
        <f>AB$44/Population!AJ$59</f>
        <v>0.88294555049172463</v>
      </c>
      <c r="AC184" s="82">
        <f>AC$44/Population!AK$59</f>
        <v>0.88364167478091526</v>
      </c>
      <c r="AD184" s="82">
        <f>AD$44/Population!AL$59</f>
        <v>0.88410757946210272</v>
      </c>
      <c r="AE184" s="82">
        <f>AE$44/Population!AM$59</f>
        <v>0.88458637163691223</v>
      </c>
      <c r="AF184" s="82">
        <f>AF$44/Population!AN$59</f>
        <v>0.88490853658536583</v>
      </c>
      <c r="AG184" s="82">
        <f>AG$44/Population!AO$59</f>
        <v>0.88512633498306847</v>
      </c>
      <c r="AH184" s="82">
        <f>AH$44/Population!AP$59</f>
        <v>0.88537549407114624</v>
      </c>
      <c r="AI184" s="82">
        <f>AI$44/Population!AQ$59</f>
        <v>0.88579994548923413</v>
      </c>
      <c r="AJ184" s="82">
        <f>AJ$44/Population!AR$59</f>
        <v>0.88601182099634113</v>
      </c>
      <c r="AK184" s="82">
        <f>AK$44/Population!AS$59</f>
        <v>0.88603042876901794</v>
      </c>
      <c r="AL184" s="82">
        <f>AL$44/Population!AT$59</f>
        <v>0.88637648388920298</v>
      </c>
      <c r="AM184" s="82">
        <f>AM$44/Population!AU$59</f>
        <v>0.88620993825345484</v>
      </c>
      <c r="AN184" s="82">
        <f>AN$44/Population!AV$59</f>
        <v>0.88651218062982773</v>
      </c>
      <c r="AO184" s="82">
        <f>AO$44/Population!AW$59</f>
        <v>0.88638360175695463</v>
      </c>
      <c r="AP184" s="82">
        <f>AP$44/Population!AX$59</f>
        <v>0.88657067293564507</v>
      </c>
      <c r="AQ184" s="82">
        <f>AQ$44/Population!AY$59</f>
        <v>0.8867435158501441</v>
      </c>
      <c r="AR184" s="82">
        <f>AR$44/Population!AZ$59</f>
        <v>0.88688160088938295</v>
      </c>
      <c r="AS184" s="82">
        <f>AS$44/Population!BA$59</f>
        <v>0.88679752621672492</v>
      </c>
      <c r="AT184" s="82">
        <f>AT$44/Population!BB$59</f>
        <v>0.8868078175895765</v>
      </c>
      <c r="AU184" s="82">
        <f>AU$44/Population!BC$59</f>
        <v>0.88703261734287986</v>
      </c>
      <c r="AV184" s="82">
        <f>AV$44/Population!BD$59</f>
        <v>0.88697986577181209</v>
      </c>
      <c r="AW184" s="82">
        <f>AW$44/Population!BE$59</f>
        <v>0.88692579505300351</v>
      </c>
      <c r="AX184" s="82">
        <f>AX$44/Population!BF$59</f>
        <v>0.88678208298983241</v>
      </c>
      <c r="AY184" s="82">
        <f>AY$44/Population!BG$59</f>
        <v>0.8869467155342543</v>
      </c>
      <c r="AZ184" s="82">
        <f>AZ$44/Population!BH$59</f>
        <v>0.88700564971751417</v>
      </c>
      <c r="BA184" s="82">
        <f>BA$44/Population!BI$59</f>
        <v>0.88697372139022324</v>
      </c>
      <c r="BB184" s="82">
        <f>BB$44/Population!BJ$59</f>
        <v>0.88706079196876741</v>
      </c>
      <c r="BC184" s="82">
        <f>BC$44/Population!BK$59</f>
        <v>0.88690639582761466</v>
      </c>
      <c r="BD184" s="82">
        <f>BD$44/Population!BL$59</f>
        <v>0.8871142393069843</v>
      </c>
    </row>
    <row r="185" spans="3:56" x14ac:dyDescent="0.2">
      <c r="C185" s="28">
        <v>50</v>
      </c>
      <c r="E185" s="82">
        <f>E$45/Population!M$60</f>
        <v>0.84259259259259256</v>
      </c>
      <c r="F185" s="82">
        <f>F$45/Population!N$60</f>
        <v>0.84566014669926648</v>
      </c>
      <c r="G185" s="82">
        <f>G$45/Population!O$60</f>
        <v>0.84848484848484851</v>
      </c>
      <c r="H185" s="82">
        <f>H$45/Population!P$60</f>
        <v>0.85118511851185119</v>
      </c>
      <c r="I185" s="82">
        <f>I$45/Population!Q$60</f>
        <v>0.85376406114796655</v>
      </c>
      <c r="J185" s="82">
        <f>J$45/Population!R$60</f>
        <v>0.85629979344939511</v>
      </c>
      <c r="K185" s="82">
        <f>K$45/Population!S$60</f>
        <v>0.85866261398176291</v>
      </c>
      <c r="L185" s="82">
        <f>L$45/Population!T$60</f>
        <v>0.86046511627906974</v>
      </c>
      <c r="M185" s="82">
        <f>M$45/Population!U$60</f>
        <v>0.86259791122715401</v>
      </c>
      <c r="N185" s="82">
        <f>N$45/Population!V$60</f>
        <v>0.86456908344733241</v>
      </c>
      <c r="O185" s="82">
        <f>O$45/Population!W$60</f>
        <v>0.86598639455782311</v>
      </c>
      <c r="P185" s="82">
        <f>P$45/Population!X$60</f>
        <v>0.86767746381805655</v>
      </c>
      <c r="Q185" s="82">
        <f>Q$45/Population!Y$60</f>
        <v>0.86926147704590817</v>
      </c>
      <c r="R185" s="82">
        <f>R$45/Population!Z$60</f>
        <v>0.87044400265076205</v>
      </c>
      <c r="S185" s="82">
        <f>S$45/Population!AA$60</f>
        <v>0.87184529662405763</v>
      </c>
      <c r="T185" s="82">
        <f>T$45/Population!AB$60</f>
        <v>0.87281399046104924</v>
      </c>
      <c r="U185" s="82">
        <f>U$45/Population!AC$60</f>
        <v>0.87398879900435589</v>
      </c>
      <c r="V185" s="82">
        <f>V$45/Population!AD$60</f>
        <v>0.87484737484737485</v>
      </c>
      <c r="W185" s="82">
        <f>W$45/Population!AE$60</f>
        <v>0.8758131283264341</v>
      </c>
      <c r="X185" s="82">
        <f>X$45/Population!AF$60</f>
        <v>0.87660443407234534</v>
      </c>
      <c r="Y185" s="82">
        <f>Y$45/Population!AG$60</f>
        <v>0.87722772277227723</v>
      </c>
      <c r="Z185" s="82">
        <f>Z$45/Population!AH$60</f>
        <v>0.87821199143468953</v>
      </c>
      <c r="AA185" s="82">
        <f>AA$45/Population!AI$60</f>
        <v>0.87876407436501702</v>
      </c>
      <c r="AB185" s="82">
        <f>AB$45/Population!AJ$60</f>
        <v>0.87932321473003239</v>
      </c>
      <c r="AC185" s="82">
        <f>AC$45/Population!AK$60</f>
        <v>0.87989430699015136</v>
      </c>
      <c r="AD185" s="82">
        <f>AD$45/Population!AL$60</f>
        <v>0.88008774067755302</v>
      </c>
      <c r="AE185" s="82">
        <f>AE$45/Population!AM$60</f>
        <v>0.88053855569155448</v>
      </c>
      <c r="AF185" s="82">
        <f>AF$45/Population!AN$60</f>
        <v>0.88069468915177451</v>
      </c>
      <c r="AG185" s="82">
        <f>AG$45/Population!AO$60</f>
        <v>0.88120071228694985</v>
      </c>
      <c r="AH185" s="82">
        <f>AH$45/Population!AP$60</f>
        <v>0.88158581116327595</v>
      </c>
      <c r="AI185" s="82">
        <f>AI$45/Population!AQ$60</f>
        <v>0.88179419525065961</v>
      </c>
      <c r="AJ185" s="82">
        <f>AJ$45/Population!AR$60</f>
        <v>0.88185538881309689</v>
      </c>
      <c r="AK185" s="82">
        <f>AK$45/Population!AS$60</f>
        <v>0.88222034375880531</v>
      </c>
      <c r="AL185" s="82">
        <f>AL$45/Population!AT$60</f>
        <v>0.88202713929659371</v>
      </c>
      <c r="AM185" s="82">
        <f>AM$45/Population!AU$60</f>
        <v>0.88231966053748234</v>
      </c>
      <c r="AN185" s="82">
        <f>AN$45/Population!AV$60</f>
        <v>0.8825434206652929</v>
      </c>
      <c r="AO185" s="82">
        <f>AO$45/Population!AW$60</f>
        <v>0.88254534641688964</v>
      </c>
      <c r="AP185" s="82">
        <f>AP$45/Population!AX$60</f>
        <v>0.88273233655819405</v>
      </c>
      <c r="AQ185" s="82">
        <f>AQ$45/Population!AY$60</f>
        <v>0.88261253309796994</v>
      </c>
      <c r="AR185" s="82">
        <f>AR$45/Population!AZ$60</f>
        <v>0.88289587539659653</v>
      </c>
      <c r="AS185" s="82">
        <f>AS$45/Population!BA$60</f>
        <v>0.88289290681502086</v>
      </c>
      <c r="AT185" s="82">
        <f>AT$45/Population!BB$60</f>
        <v>0.88290713324360703</v>
      </c>
      <c r="AU185" s="82">
        <f>AU$45/Population!BC$60</f>
        <v>0.88288043478260869</v>
      </c>
      <c r="AV185" s="82">
        <f>AV$45/Population!BD$60</f>
        <v>0.88269639065817407</v>
      </c>
      <c r="AW185" s="82">
        <f>AW$45/Population!BE$60</f>
        <v>0.8828586781300376</v>
      </c>
      <c r="AX185" s="82">
        <f>AX$45/Population!BF$60</f>
        <v>0.88275299238302507</v>
      </c>
      <c r="AY185" s="82">
        <f>AY$45/Population!BG$60</f>
        <v>0.88308115543328747</v>
      </c>
      <c r="AZ185" s="82">
        <f>AZ$45/Population!BH$60</f>
        <v>0.88290067720090293</v>
      </c>
      <c r="BA185" s="82">
        <f>BA$45/Population!BI$60</f>
        <v>0.88295165394402031</v>
      </c>
      <c r="BB185" s="82">
        <f>BB$45/Population!BJ$60</f>
        <v>0.88291855203619907</v>
      </c>
      <c r="BC185" s="82">
        <f>BC$45/Population!BK$60</f>
        <v>0.88305888919899522</v>
      </c>
      <c r="BD185" s="82">
        <f>BD$45/Population!BL$60</f>
        <v>0.88296703296703294</v>
      </c>
    </row>
    <row r="186" spans="3:56" x14ac:dyDescent="0.2">
      <c r="C186" s="28">
        <v>51</v>
      </c>
      <c r="E186" s="82">
        <f>E$46/Population!M$61</f>
        <v>0.84005037783375314</v>
      </c>
      <c r="F186" s="82">
        <f>F$46/Population!N$61</f>
        <v>0.84285273232479163</v>
      </c>
      <c r="G186" s="82">
        <f>G$46/Population!O$61</f>
        <v>0.84551850718874277</v>
      </c>
      <c r="H186" s="82">
        <f>H$46/Population!P$61</f>
        <v>0.84800240312406128</v>
      </c>
      <c r="I186" s="82">
        <f>I$46/Population!Q$61</f>
        <v>0.85061617072437634</v>
      </c>
      <c r="J186" s="82">
        <f>J$46/Population!R$61</f>
        <v>0.85260115606936415</v>
      </c>
      <c r="K186" s="82">
        <f>K$46/Population!S$61</f>
        <v>0.85481963335304556</v>
      </c>
      <c r="L186" s="82">
        <f>L$46/Population!T$61</f>
        <v>0.85688185140073081</v>
      </c>
      <c r="M186" s="82">
        <f>M$46/Population!U$61</f>
        <v>0.85862720403022674</v>
      </c>
      <c r="N186" s="82">
        <f>N$46/Population!V$61</f>
        <v>0.86008499509643677</v>
      </c>
      <c r="O186" s="82">
        <f>O$46/Population!W$61</f>
        <v>0.86193902021240154</v>
      </c>
      <c r="P186" s="82">
        <f>P$46/Population!X$61</f>
        <v>0.86337308347529818</v>
      </c>
      <c r="Q186" s="82">
        <f>Q$46/Population!Y$61</f>
        <v>0.86468760787021059</v>
      </c>
      <c r="R186" s="82">
        <f>R$46/Population!Z$61</f>
        <v>0.86604465178273904</v>
      </c>
      <c r="S186" s="82">
        <f>S$46/Population!AA$61</f>
        <v>0.86724195154331229</v>
      </c>
      <c r="T186" s="82">
        <f>T$46/Population!AB$61</f>
        <v>0.86835193696651347</v>
      </c>
      <c r="U186" s="82">
        <f>U$46/Population!AC$61</f>
        <v>0.86942675159235672</v>
      </c>
      <c r="V186" s="82">
        <f>V$46/Population!AD$61</f>
        <v>0.87005297600498599</v>
      </c>
      <c r="W186" s="82">
        <f>W$46/Population!AE$61</f>
        <v>0.87129318251299293</v>
      </c>
      <c r="X186" s="82">
        <f>X$46/Population!AF$61</f>
        <v>0.87177968611193368</v>
      </c>
      <c r="Y186" s="82">
        <f>Y$46/Population!AG$61</f>
        <v>0.87262635115395848</v>
      </c>
      <c r="Z186" s="82">
        <f>Z$46/Population!AH$61</f>
        <v>0.8730878186968839</v>
      </c>
      <c r="AA186" s="82">
        <f>AA$46/Population!AI$61</f>
        <v>0.87376038595550787</v>
      </c>
      <c r="AB186" s="82">
        <f>AB$46/Population!AJ$61</f>
        <v>0.87441006816990041</v>
      </c>
      <c r="AC186" s="82">
        <f>AC$46/Population!AK$61</f>
        <v>0.87468858993522669</v>
      </c>
      <c r="AD186" s="82">
        <f>AD$46/Population!AL$61</f>
        <v>0.87518037518037517</v>
      </c>
      <c r="AE186" s="82">
        <f>AE$46/Population!AM$61</f>
        <v>0.8755490483162518</v>
      </c>
      <c r="AF186" s="82">
        <f>AF$46/Population!AN$61</f>
        <v>0.87573529411764706</v>
      </c>
      <c r="AG186" s="82">
        <f>AG$46/Population!AO$61</f>
        <v>0.876008064516129</v>
      </c>
      <c r="AH186" s="82">
        <f>AH$46/Population!AP$61</f>
        <v>0.87649605296664124</v>
      </c>
      <c r="AI186" s="82">
        <f>AI$46/Population!AQ$61</f>
        <v>0.87676240208877287</v>
      </c>
      <c r="AJ186" s="82">
        <f>AJ$46/Population!AR$61</f>
        <v>0.87691494981510831</v>
      </c>
      <c r="AK186" s="82">
        <f>AK$46/Population!AS$61</f>
        <v>0.87680961485932807</v>
      </c>
      <c r="AL186" s="82">
        <f>AL$46/Population!AT$61</f>
        <v>0.87729196050775737</v>
      </c>
      <c r="AM186" s="82">
        <f>AM$46/Population!AU$61</f>
        <v>0.87718325478236758</v>
      </c>
      <c r="AN186" s="82">
        <f>AN$46/Population!AV$61</f>
        <v>0.8773718493344661</v>
      </c>
      <c r="AO186" s="82">
        <f>AO$46/Population!AW$61</f>
        <v>0.8774307601649971</v>
      </c>
      <c r="AP186" s="82">
        <f>AP$46/Population!AX$61</f>
        <v>0.87764215540339385</v>
      </c>
      <c r="AQ186" s="82">
        <f>AQ$46/Population!AY$61</f>
        <v>0.8776408450704225</v>
      </c>
      <c r="AR186" s="82">
        <f>AR$46/Population!AZ$61</f>
        <v>0.87750294464075385</v>
      </c>
      <c r="AS186" s="82">
        <f>AS$46/Population!BA$61</f>
        <v>0.87759815242494221</v>
      </c>
      <c r="AT186" s="82">
        <f>AT$46/Population!BB$61</f>
        <v>0.87750556792873047</v>
      </c>
      <c r="AU186" s="82">
        <f>AU$46/Population!BC$61</f>
        <v>0.87769396551724133</v>
      </c>
      <c r="AV186" s="82">
        <f>AV$46/Population!BD$61</f>
        <v>0.87788958389991845</v>
      </c>
      <c r="AW186" s="82">
        <f>AW$46/Population!BE$61</f>
        <v>0.8775564409030544</v>
      </c>
      <c r="AX186" s="82">
        <f>AX$46/Population!BF$61</f>
        <v>0.87765528367840817</v>
      </c>
      <c r="AY186" s="82">
        <f>AY$46/Population!BG$61</f>
        <v>0.87775660223250751</v>
      </c>
      <c r="AZ186" s="82">
        <f>AZ$46/Population!BH$61</f>
        <v>0.87751169832094689</v>
      </c>
      <c r="BA186" s="82">
        <f>BA$46/Population!BI$61</f>
        <v>0.87771815871222814</v>
      </c>
      <c r="BB186" s="82">
        <f>BB$46/Population!BJ$61</f>
        <v>0.87775891341256362</v>
      </c>
      <c r="BC186" s="82">
        <f>BC$46/Population!BK$61</f>
        <v>0.87775891341256362</v>
      </c>
      <c r="BD186" s="82">
        <f>BD$46/Population!BL$61</f>
        <v>0.8776877967048311</v>
      </c>
    </row>
    <row r="187" spans="3:56" x14ac:dyDescent="0.2">
      <c r="C187" s="28">
        <v>52</v>
      </c>
      <c r="E187" s="82">
        <f>E$47/Population!M$62</f>
        <v>0.83583959899749372</v>
      </c>
      <c r="F187" s="82">
        <f>F$47/Population!N$62</f>
        <v>0.83842519685039374</v>
      </c>
      <c r="G187" s="82">
        <f>G$47/Population!O$62</f>
        <v>0.84116192830655134</v>
      </c>
      <c r="H187" s="82">
        <f>H$47/Population!P$62</f>
        <v>0.84379785604900459</v>
      </c>
      <c r="I187" s="82">
        <f>I$47/Population!Q$62</f>
        <v>0.84566787003610111</v>
      </c>
      <c r="J187" s="82">
        <f>J$47/Population!R$62</f>
        <v>0.84793736826257149</v>
      </c>
      <c r="K187" s="82">
        <f>K$47/Population!S$62</f>
        <v>0.85002895193978001</v>
      </c>
      <c r="L187" s="82">
        <f>L$47/Population!T$62</f>
        <v>0.8518957345971564</v>
      </c>
      <c r="M187" s="82">
        <f>M$47/Population!U$62</f>
        <v>0.85387431360585719</v>
      </c>
      <c r="N187" s="82">
        <f>N$47/Population!V$62</f>
        <v>0.85552050473186125</v>
      </c>
      <c r="O187" s="82">
        <f>O$47/Population!W$62</f>
        <v>0.85686210284965603</v>
      </c>
      <c r="P187" s="82">
        <f>P$47/Population!X$62</f>
        <v>0.85827041866849696</v>
      </c>
      <c r="Q187" s="82">
        <f>Q$47/Population!Y$62</f>
        <v>0.85972696245733793</v>
      </c>
      <c r="R187" s="82">
        <f>R$47/Population!Z$62</f>
        <v>0.86099585062240669</v>
      </c>
      <c r="S187" s="82">
        <f>S$47/Population!AA$62</f>
        <v>0.86186186186186187</v>
      </c>
      <c r="T187" s="82">
        <f>T$47/Population!AB$62</f>
        <v>0.86303191489361697</v>
      </c>
      <c r="U187" s="82">
        <f>U$47/Population!AC$62</f>
        <v>0.86390532544378695</v>
      </c>
      <c r="V187" s="82">
        <f>V$47/Population!AD$62</f>
        <v>0.86479591836734693</v>
      </c>
      <c r="W187" s="82">
        <f>W$47/Population!AE$62</f>
        <v>0.86552262090483623</v>
      </c>
      <c r="X187" s="82">
        <f>X$47/Population!AF$62</f>
        <v>0.86654423018059379</v>
      </c>
      <c r="Y187" s="82">
        <f>Y$47/Population!AG$62</f>
        <v>0.86718055143788908</v>
      </c>
      <c r="Z187" s="82">
        <f>Z$47/Population!AH$62</f>
        <v>0.86779760163790587</v>
      </c>
      <c r="AA187" s="82">
        <f>AA$47/Population!AI$62</f>
        <v>0.86812251843448662</v>
      </c>
      <c r="AB187" s="82">
        <f>AB$47/Population!AJ$62</f>
        <v>0.8687952777032466</v>
      </c>
      <c r="AC187" s="82">
        <f>AC$47/Population!AK$62</f>
        <v>0.86929133858267715</v>
      </c>
      <c r="AD187" s="82">
        <f>AD$47/Population!AL$62</f>
        <v>0.86957605985037412</v>
      </c>
      <c r="AE187" s="82">
        <f>AE$47/Population!AM$62</f>
        <v>0.87000481463649493</v>
      </c>
      <c r="AF187" s="82">
        <f>AF$47/Population!AN$62</f>
        <v>0.87029799706888133</v>
      </c>
      <c r="AG187" s="82">
        <f>AG$47/Population!AO$62</f>
        <v>0.87046123650637885</v>
      </c>
      <c r="AH187" s="82">
        <f>AH$47/Population!AP$62</f>
        <v>0.87083753784056506</v>
      </c>
      <c r="AI187" s="82">
        <f>AI$47/Population!AQ$62</f>
        <v>0.87101707876625034</v>
      </c>
      <c r="AJ187" s="82">
        <f>AJ$47/Population!AR$62</f>
        <v>0.87117846877449701</v>
      </c>
      <c r="AK187" s="82">
        <f>AK$47/Population!AS$62</f>
        <v>0.87126619085381973</v>
      </c>
      <c r="AL187" s="82">
        <f>AL$47/Population!AT$62</f>
        <v>0.87151448879168947</v>
      </c>
      <c r="AM187" s="82">
        <f>AM$47/Population!AU$62</f>
        <v>0.87182382834556749</v>
      </c>
      <c r="AN187" s="82">
        <f>AN$47/Population!AV$62</f>
        <v>0.87180910099889009</v>
      </c>
      <c r="AO187" s="82">
        <f>AO$47/Population!AW$62</f>
        <v>0.8718820861678005</v>
      </c>
      <c r="AP187" s="82">
        <f>AP$47/Population!AX$62</f>
        <v>0.87201415511648483</v>
      </c>
      <c r="AQ187" s="82">
        <f>AQ$47/Population!AY$62</f>
        <v>0.87190944295501938</v>
      </c>
      <c r="AR187" s="82">
        <f>AR$47/Population!AZ$62</f>
        <v>0.8722466960352423</v>
      </c>
      <c r="AS187" s="82">
        <f>AS$47/Population!BA$62</f>
        <v>0.87208959622752724</v>
      </c>
      <c r="AT187" s="82">
        <f>AT$47/Population!BB$62</f>
        <v>0.87229124530482516</v>
      </c>
      <c r="AU187" s="82">
        <f>AU$47/Population!BC$62</f>
        <v>0.8721092226246866</v>
      </c>
      <c r="AV187" s="82">
        <f>AV$47/Population!BD$62</f>
        <v>0.87220275006740366</v>
      </c>
      <c r="AW187" s="82">
        <f>AW$47/Population!BE$62</f>
        <v>0.87210884353741491</v>
      </c>
      <c r="AX187" s="82">
        <f>AX$47/Population!BF$62</f>
        <v>0.87214247740563533</v>
      </c>
      <c r="AY187" s="82">
        <f>AY$47/Population!BG$62</f>
        <v>0.87220877051385526</v>
      </c>
      <c r="AZ187" s="82">
        <f>AZ$47/Population!BH$62</f>
        <v>0.87196949060201578</v>
      </c>
      <c r="BA187" s="82">
        <f>BA$47/Population!BI$62</f>
        <v>0.87217630853994488</v>
      </c>
      <c r="BB187" s="82">
        <f>BB$47/Population!BJ$62</f>
        <v>0.87199773947442782</v>
      </c>
      <c r="BC187" s="82">
        <f>BC$47/Population!BK$62</f>
        <v>0.87231030577576441</v>
      </c>
      <c r="BD187" s="82">
        <f>BD$47/Population!BL$62</f>
        <v>0.87202718006795021</v>
      </c>
    </row>
    <row r="188" spans="3:56" x14ac:dyDescent="0.2">
      <c r="C188" s="28">
        <v>53</v>
      </c>
      <c r="E188" s="82">
        <f>E$48/Population!M$63</f>
        <v>0.8307086614173228</v>
      </c>
      <c r="F188" s="82">
        <f>F$48/Population!N$63</f>
        <v>0.83328110310247572</v>
      </c>
      <c r="G188" s="82">
        <f>G$48/Population!O$63</f>
        <v>0.83611723920579895</v>
      </c>
      <c r="H188" s="82">
        <f>H$48/Population!P$63</f>
        <v>0.83854005567584289</v>
      </c>
      <c r="I188" s="82">
        <f>I$48/Population!Q$63</f>
        <v>0.84084636614535424</v>
      </c>
      <c r="J188" s="82">
        <f>J$48/Population!R$63</f>
        <v>0.84297769740807715</v>
      </c>
      <c r="K188" s="82">
        <f>K$48/Population!S$63</f>
        <v>0.844947209653092</v>
      </c>
      <c r="L188" s="82">
        <f>L$48/Population!T$63</f>
        <v>0.84686774941995357</v>
      </c>
      <c r="M188" s="82">
        <f>M$48/Population!U$63</f>
        <v>0.84870958172649069</v>
      </c>
      <c r="N188" s="82">
        <f>N$48/Population!V$63</f>
        <v>0.85029025358997856</v>
      </c>
      <c r="O188" s="82">
        <f>O$48/Population!W$63</f>
        <v>0.85213270142180098</v>
      </c>
      <c r="P188" s="82">
        <f>P$48/Population!X$63</f>
        <v>0.85339455559199739</v>
      </c>
      <c r="Q188" s="82">
        <f>Q$48/Population!Y$63</f>
        <v>0.85463917525773192</v>
      </c>
      <c r="R188" s="82">
        <f>R$48/Population!Z$63</f>
        <v>0.85611756664388239</v>
      </c>
      <c r="S188" s="82">
        <f>S$48/Population!AA$63</f>
        <v>0.85704395984769821</v>
      </c>
      <c r="T188" s="82">
        <f>T$48/Population!AB$63</f>
        <v>0.85800200467758103</v>
      </c>
      <c r="U188" s="82">
        <f>U$48/Population!AC$63</f>
        <v>0.85890183028286193</v>
      </c>
      <c r="V188" s="82">
        <f>V$48/Population!AD$63</f>
        <v>0.86010533245556287</v>
      </c>
      <c r="W188" s="82">
        <f>W$48/Population!AE$63</f>
        <v>0.8607918263090677</v>
      </c>
      <c r="X188" s="82">
        <f>X$48/Population!AF$63</f>
        <v>0.86160574820368629</v>
      </c>
      <c r="Y188" s="82">
        <f>Y$48/Population!AG$63</f>
        <v>0.86213235294117652</v>
      </c>
      <c r="Z188" s="82">
        <f>Z$48/Population!AH$63</f>
        <v>0.86286731967943009</v>
      </c>
      <c r="AA188" s="82">
        <f>AA$48/Population!AI$63</f>
        <v>0.86325036603221084</v>
      </c>
      <c r="AB188" s="82">
        <f>AB$48/Population!AJ$63</f>
        <v>0.86399772856331625</v>
      </c>
      <c r="AC188" s="82">
        <f>AC$48/Population!AK$63</f>
        <v>0.86435670158474354</v>
      </c>
      <c r="AD188" s="82">
        <f>AD$48/Population!AL$63</f>
        <v>0.86468733578560164</v>
      </c>
      <c r="AE188" s="82">
        <f>AE$48/Population!AM$63</f>
        <v>0.86520219670494258</v>
      </c>
      <c r="AF188" s="82">
        <f>AF$48/Population!AN$63</f>
        <v>0.86530120481927708</v>
      </c>
      <c r="AG188" s="82">
        <f>AG$48/Population!AO$63</f>
        <v>0.86577017114914423</v>
      </c>
      <c r="AH188" s="82">
        <f>AH$48/Population!AP$63</f>
        <v>0.86591355599214148</v>
      </c>
      <c r="AI188" s="82">
        <f>AI$48/Population!AQ$63</f>
        <v>0.86619540520070692</v>
      </c>
      <c r="AJ188" s="82">
        <f>AJ$48/Population!AR$63</f>
        <v>0.86632653061224485</v>
      </c>
      <c r="AK188" s="82">
        <f>AK$48/Population!AS$63</f>
        <v>0.86637029288702927</v>
      </c>
      <c r="AL188" s="82">
        <f>AL$48/Population!AT$63</f>
        <v>0.8666666666666667</v>
      </c>
      <c r="AM188" s="82">
        <f>AM$48/Population!AU$63</f>
        <v>0.86675786593707249</v>
      </c>
      <c r="AN188" s="82">
        <f>AN$48/Population!AV$63</f>
        <v>0.86694915254237293</v>
      </c>
      <c r="AO188" s="82">
        <f>AO$48/Population!AW$63</f>
        <v>0.86674069961132705</v>
      </c>
      <c r="AP188" s="82">
        <f>AP$48/Population!AX$63</f>
        <v>0.86698808848553599</v>
      </c>
      <c r="AQ188" s="82">
        <f>AQ$48/Population!AY$63</f>
        <v>0.86692239598701681</v>
      </c>
      <c r="AR188" s="82">
        <f>AR$48/Population!AZ$63</f>
        <v>0.86706408345752606</v>
      </c>
      <c r="AS188" s="82">
        <f>AS$48/Population!BA$63</f>
        <v>0.8671760211578019</v>
      </c>
      <c r="AT188" s="82">
        <f>AT$48/Population!BB$63</f>
        <v>0.86704009433962259</v>
      </c>
      <c r="AU188" s="82">
        <f>AU$48/Population!BC$63</f>
        <v>0.86705202312138729</v>
      </c>
      <c r="AV188" s="82">
        <f>AV$48/Population!BD$63</f>
        <v>0.86729857819905209</v>
      </c>
      <c r="AW188" s="82">
        <f>AW$48/Population!BE$63</f>
        <v>0.86704422869471409</v>
      </c>
      <c r="AX188" s="82">
        <f>AX$48/Population!BF$63</f>
        <v>0.86713857881840462</v>
      </c>
      <c r="AY188" s="82">
        <f>AY$48/Population!BG$63</f>
        <v>0.8670566338739697</v>
      </c>
      <c r="AZ188" s="82">
        <f>AZ$48/Population!BH$63</f>
        <v>0.86729475100942122</v>
      </c>
      <c r="BA188" s="82">
        <f>BA$48/Population!BI$63</f>
        <v>0.86726628509130554</v>
      </c>
      <c r="BB188" s="82">
        <f>BB$48/Population!BJ$63</f>
        <v>0.8671810416092588</v>
      </c>
      <c r="BC188" s="82">
        <f>BC$48/Population!BK$63</f>
        <v>0.86715658564160547</v>
      </c>
      <c r="BD188" s="82">
        <f>BD$48/Population!BL$63</f>
        <v>0.86717643726989524</v>
      </c>
    </row>
    <row r="189" spans="3:56" x14ac:dyDescent="0.2">
      <c r="C189" s="28">
        <v>54</v>
      </c>
      <c r="E189" s="82">
        <f>E$49/Population!M$64</f>
        <v>0.82466567607726593</v>
      </c>
      <c r="F189" s="82">
        <f>F$49/Population!N$64</f>
        <v>0.82762799151772193</v>
      </c>
      <c r="G189" s="82">
        <f>G$49/Population!O$64</f>
        <v>0.83030112923462984</v>
      </c>
      <c r="H189" s="82">
        <f>H$49/Population!P$64</f>
        <v>0.8330703692016409</v>
      </c>
      <c r="I189" s="82">
        <f>I$49/Population!Q$64</f>
        <v>0.83550185873605953</v>
      </c>
      <c r="J189" s="82">
        <f>J$49/Population!R$64</f>
        <v>0.83748079877112136</v>
      </c>
      <c r="K189" s="82">
        <f>K$49/Population!S$64</f>
        <v>0.83967391304347827</v>
      </c>
      <c r="L189" s="82">
        <f>L$49/Population!T$64</f>
        <v>0.84169184290030208</v>
      </c>
      <c r="M189" s="82">
        <f>M$49/Population!U$64</f>
        <v>0.84340499709471239</v>
      </c>
      <c r="N189" s="82">
        <f>N$49/Population!V$64</f>
        <v>0.84521687462863937</v>
      </c>
      <c r="O189" s="82">
        <f>O$49/Population!W$64</f>
        <v>0.84700122399020805</v>
      </c>
      <c r="P189" s="82">
        <f>P$49/Population!X$64</f>
        <v>0.84846567541917117</v>
      </c>
      <c r="Q189" s="82">
        <f>Q$49/Population!Y$64</f>
        <v>0.84958949096880132</v>
      </c>
      <c r="R189" s="82">
        <f>R$49/Population!Z$64</f>
        <v>0.85104919160646719</v>
      </c>
      <c r="S189" s="82">
        <f>S$49/Population!AA$64</f>
        <v>0.85220663701676358</v>
      </c>
      <c r="T189" s="82">
        <f>T$49/Population!AB$64</f>
        <v>0.85337954939341421</v>
      </c>
      <c r="U189" s="82">
        <f>U$49/Population!AC$64</f>
        <v>0.85418060200668899</v>
      </c>
      <c r="V189" s="82">
        <f>V$49/Population!AD$64</f>
        <v>0.8550966022651566</v>
      </c>
      <c r="W189" s="82">
        <f>W$49/Population!AE$64</f>
        <v>0.8560131795716639</v>
      </c>
      <c r="X189" s="82">
        <f>X$49/Population!AF$64</f>
        <v>0.85682326621923932</v>
      </c>
      <c r="Y189" s="82">
        <f>Y$49/Population!AG$64</f>
        <v>0.85741088180112568</v>
      </c>
      <c r="Z189" s="82">
        <f>Z$49/Population!AH$64</f>
        <v>0.85801901257283042</v>
      </c>
      <c r="AA189" s="82">
        <f>AA$49/Population!AI$64</f>
        <v>0.8588829471182412</v>
      </c>
      <c r="AB189" s="82">
        <f>AB$49/Population!AJ$64</f>
        <v>0.85932004689331776</v>
      </c>
      <c r="AC189" s="82">
        <f>AC$49/Population!AK$64</f>
        <v>0.85990338164251212</v>
      </c>
      <c r="AD189" s="82">
        <f>AD$49/Population!AL$64</f>
        <v>0.86021505376344087</v>
      </c>
      <c r="AE189" s="82">
        <f>AE$49/Population!AM$64</f>
        <v>0.86063633973179066</v>
      </c>
      <c r="AF189" s="82">
        <f>AF$49/Population!AN$64</f>
        <v>0.86085435923057707</v>
      </c>
      <c r="AG189" s="82">
        <f>AG$49/Population!AO$64</f>
        <v>0.86110441282855077</v>
      </c>
      <c r="AH189" s="82">
        <f>AH$49/Population!AP$64</f>
        <v>0.86151211157328111</v>
      </c>
      <c r="AI189" s="82">
        <f>AI$49/Population!AQ$64</f>
        <v>0.86188252641926766</v>
      </c>
      <c r="AJ189" s="82">
        <f>AJ$49/Population!AR$64</f>
        <v>0.86179888832743812</v>
      </c>
      <c r="AK189" s="82">
        <f>AK$49/Population!AS$64</f>
        <v>0.86191934660541092</v>
      </c>
      <c r="AL189" s="82">
        <f>AL$49/Population!AT$64</f>
        <v>0.86233970164878304</v>
      </c>
      <c r="AM189" s="82">
        <f>AM$49/Population!AU$64</f>
        <v>0.86236103758602434</v>
      </c>
      <c r="AN189" s="82">
        <f>AN$49/Population!AV$64</f>
        <v>0.86257870243635371</v>
      </c>
      <c r="AO189" s="82">
        <f>AO$49/Population!AW$64</f>
        <v>0.86263425664217075</v>
      </c>
      <c r="AP189" s="82">
        <f>AP$49/Population!AX$64</f>
        <v>0.86250000000000004</v>
      </c>
      <c r="AQ189" s="82">
        <f>AQ$49/Population!AY$64</f>
        <v>0.86265607264472188</v>
      </c>
      <c r="AR189" s="82">
        <f>AR$49/Population!AZ$64</f>
        <v>0.86275088547815826</v>
      </c>
      <c r="AS189" s="82">
        <f>AS$49/Population!BA$64</f>
        <v>0.86255217650566485</v>
      </c>
      <c r="AT189" s="82">
        <f>AT$49/Population!BB$64</f>
        <v>0.86272780717225162</v>
      </c>
      <c r="AU189" s="82">
        <f>AU$49/Population!BC$64</f>
        <v>0.86257741079327632</v>
      </c>
      <c r="AV189" s="82">
        <f>AV$49/Population!BD$64</f>
        <v>0.86267707429893037</v>
      </c>
      <c r="AW189" s="82">
        <f>AW$49/Population!BE$64</f>
        <v>0.86255924170616116</v>
      </c>
      <c r="AX189" s="82">
        <f>AX$49/Population!BF$64</f>
        <v>0.86269220393849477</v>
      </c>
      <c r="AY189" s="82">
        <f>AY$49/Population!BG$64</f>
        <v>0.86274509803921573</v>
      </c>
      <c r="AZ189" s="82">
        <f>AZ$49/Population!BH$64</f>
        <v>0.86276595744680851</v>
      </c>
      <c r="BA189" s="82">
        <f>BA$49/Population!BI$64</f>
        <v>0.86295099623047922</v>
      </c>
      <c r="BB189" s="82">
        <f>BB$49/Population!BJ$64</f>
        <v>0.86286804798255179</v>
      </c>
      <c r="BC189" s="82">
        <f>BC$49/Population!BK$64</f>
        <v>0.86300992282249178</v>
      </c>
      <c r="BD189" s="82">
        <f>BD$49/Population!BL$64</f>
        <v>0.86287814532089346</v>
      </c>
    </row>
    <row r="190" spans="3:56" x14ac:dyDescent="0.2">
      <c r="C190" s="28">
        <v>55</v>
      </c>
      <c r="E190" s="82">
        <f>E$50/Population!M$65</f>
        <v>0.81619190404797604</v>
      </c>
      <c r="F190" s="82">
        <f>F$50/Population!N$65</f>
        <v>0.81956004756242573</v>
      </c>
      <c r="G190" s="82">
        <f>G$50/Population!O$65</f>
        <v>0.82237041527735677</v>
      </c>
      <c r="H190" s="82">
        <f>H$50/Population!P$65</f>
        <v>0.82517263025737597</v>
      </c>
      <c r="I190" s="82">
        <f>I$50/Population!Q$65</f>
        <v>0.8278584965255843</v>
      </c>
      <c r="J190" s="82">
        <f>J$50/Population!R$65</f>
        <v>0.83002481389578164</v>
      </c>
      <c r="K190" s="82">
        <f>K$50/Population!S$65</f>
        <v>0.83261538461538465</v>
      </c>
      <c r="L190" s="82">
        <f>L$50/Population!T$65</f>
        <v>0.83464328899637241</v>
      </c>
      <c r="M190" s="82">
        <f>M$50/Population!U$65</f>
        <v>0.83691376701966713</v>
      </c>
      <c r="N190" s="82">
        <f>N$50/Population!V$65</f>
        <v>0.83856893542757416</v>
      </c>
      <c r="O190" s="82">
        <f>O$50/Population!W$65</f>
        <v>0.84052365367450166</v>
      </c>
      <c r="P190" s="82">
        <f>P$50/Population!X$65</f>
        <v>0.84196018376722814</v>
      </c>
      <c r="Q190" s="82">
        <f>Q$50/Population!Y$65</f>
        <v>0.84357188093730207</v>
      </c>
      <c r="R190" s="82">
        <f>R$50/Population!Z$65</f>
        <v>0.84483892176199871</v>
      </c>
      <c r="S190" s="82">
        <f>S$50/Population!AA$65</f>
        <v>0.84607438016528924</v>
      </c>
      <c r="T190" s="82">
        <f>T$50/Population!AB$65</f>
        <v>0.8476027397260274</v>
      </c>
      <c r="U190" s="82">
        <f>U$50/Population!AC$65</f>
        <v>0.84842178286507108</v>
      </c>
      <c r="V190" s="82">
        <f>V$50/Population!AD$65</f>
        <v>0.8493975903614458</v>
      </c>
      <c r="W190" s="82">
        <f>W$50/Population!AE$65</f>
        <v>0.85033333333333339</v>
      </c>
      <c r="X190" s="82">
        <f>X$50/Population!AF$65</f>
        <v>0.85130234091658419</v>
      </c>
      <c r="Y190" s="82">
        <f>Y$50/Population!AG$65</f>
        <v>0.8519347617524784</v>
      </c>
      <c r="Z190" s="82">
        <f>Z$50/Population!AH$65</f>
        <v>0.85262828535669588</v>
      </c>
      <c r="AA190" s="82">
        <f>AA$50/Population!AI$65</f>
        <v>0.8530223995090519</v>
      </c>
      <c r="AB190" s="82">
        <f>AB$50/Population!AJ$65</f>
        <v>0.85374554102259215</v>
      </c>
      <c r="AC190" s="82">
        <f>AC$50/Population!AK$65</f>
        <v>0.85425219941348973</v>
      </c>
      <c r="AD190" s="82">
        <f>AD$50/Population!AL$65</f>
        <v>0.8549900483366506</v>
      </c>
      <c r="AE190" s="82">
        <f>AE$50/Population!AM$65</f>
        <v>0.85529854760623991</v>
      </c>
      <c r="AF190" s="82">
        <f>AF$50/Population!AN$65</f>
        <v>0.85556432517758485</v>
      </c>
      <c r="AG190" s="82">
        <f>AG$50/Population!AO$65</f>
        <v>0.8557860534866284</v>
      </c>
      <c r="AH190" s="82">
        <f>AH$50/Population!AP$65</f>
        <v>0.85597104945717728</v>
      </c>
      <c r="AI190" s="82">
        <f>AI$50/Population!AQ$65</f>
        <v>0.85630354957160337</v>
      </c>
      <c r="AJ190" s="82">
        <f>AJ$50/Population!AR$65</f>
        <v>0.85644051130776799</v>
      </c>
      <c r="AK190" s="82">
        <f>AK$50/Population!AS$65</f>
        <v>0.85670962850644428</v>
      </c>
      <c r="AL190" s="82">
        <f>AL$50/Population!AT$65</f>
        <v>0.85699693564862101</v>
      </c>
      <c r="AM190" s="82">
        <f>AM$50/Population!AU$65</f>
        <v>0.85706806282722514</v>
      </c>
      <c r="AN190" s="82">
        <f>AN$50/Population!AV$65</f>
        <v>0.85702938840349485</v>
      </c>
      <c r="AO190" s="82">
        <f>AO$50/Population!AW$65</f>
        <v>0.85733844468784226</v>
      </c>
      <c r="AP190" s="82">
        <f>AP$50/Population!AX$65</f>
        <v>0.857263990955342</v>
      </c>
      <c r="AQ190" s="82">
        <f>AQ$50/Population!AY$65</f>
        <v>0.85722222222222222</v>
      </c>
      <c r="AR190" s="82">
        <f>AR$50/Population!AZ$65</f>
        <v>0.85754824063564128</v>
      </c>
      <c r="AS190" s="82">
        <f>AS$50/Population!BA$65</f>
        <v>0.8574380165289256</v>
      </c>
      <c r="AT190" s="82">
        <f>AT$50/Population!BB$65</f>
        <v>0.85748360166964821</v>
      </c>
      <c r="AU190" s="82">
        <f>AU$50/Population!BC$65</f>
        <v>0.85747869526888043</v>
      </c>
      <c r="AV190" s="82">
        <f>AV$50/Population!BD$65</f>
        <v>0.8575641403715718</v>
      </c>
      <c r="AW190" s="82">
        <f>AW$50/Population!BE$65</f>
        <v>0.85747325816710029</v>
      </c>
      <c r="AX190" s="82">
        <f>AX$50/Population!BF$65</f>
        <v>0.85754112071368827</v>
      </c>
      <c r="AY190" s="82">
        <f>AY$50/Population!BG$65</f>
        <v>0.85756676557863498</v>
      </c>
      <c r="AZ190" s="82">
        <f>AZ$50/Population!BH$65</f>
        <v>0.85733732643615568</v>
      </c>
      <c r="BA190" s="82">
        <f>BA$50/Population!BI$65</f>
        <v>0.85771276595744683</v>
      </c>
      <c r="BB190" s="82">
        <f>BB$50/Population!BJ$65</f>
        <v>0.85760430686406464</v>
      </c>
      <c r="BC190" s="82">
        <f>BC$50/Population!BK$65</f>
        <v>0.85745434723357861</v>
      </c>
      <c r="BD190" s="82">
        <f>BD$50/Population!BL$65</f>
        <v>0.85753651143565723</v>
      </c>
    </row>
    <row r="191" spans="3:56" x14ac:dyDescent="0.2">
      <c r="C191" s="28">
        <v>56</v>
      </c>
      <c r="E191" s="82">
        <f>E$51/Population!M$66</f>
        <v>0.80630354957160344</v>
      </c>
      <c r="F191" s="82">
        <f>F$51/Population!N$66</f>
        <v>0.80959520239880056</v>
      </c>
      <c r="G191" s="82">
        <f>G$51/Population!O$66</f>
        <v>0.81296461492714833</v>
      </c>
      <c r="H191" s="82">
        <f>H$51/Population!P$66</f>
        <v>0.81558993023961179</v>
      </c>
      <c r="I191" s="82">
        <f>I$51/Population!Q$66</f>
        <v>0.81841030474395227</v>
      </c>
      <c r="J191" s="82">
        <f>J$51/Population!R$66</f>
        <v>0.8209993674889311</v>
      </c>
      <c r="K191" s="82">
        <f>K$51/Population!S$66</f>
        <v>0.82360248447204965</v>
      </c>
      <c r="L191" s="82">
        <f>L$51/Population!T$66</f>
        <v>0.82568524792115794</v>
      </c>
      <c r="M191" s="82">
        <f>M$51/Population!U$66</f>
        <v>0.8280871670702179</v>
      </c>
      <c r="N191" s="82">
        <f>N$51/Population!V$66</f>
        <v>0.83010296789824345</v>
      </c>
      <c r="O191" s="82">
        <f>O$51/Population!W$66</f>
        <v>0.83197437390797901</v>
      </c>
      <c r="P191" s="82">
        <f>P$51/Population!X$66</f>
        <v>0.83382966051220964</v>
      </c>
      <c r="Q191" s="82">
        <f>Q$51/Population!Y$66</f>
        <v>0.83507050889025136</v>
      </c>
      <c r="R191" s="82">
        <f>R$51/Population!Z$66</f>
        <v>0.83650190114068446</v>
      </c>
      <c r="S191" s="82">
        <f>S$51/Population!AA$66</f>
        <v>0.8381578947368421</v>
      </c>
      <c r="T191" s="82">
        <f>T$51/Population!AB$66</f>
        <v>0.8391319324836376</v>
      </c>
      <c r="U191" s="82">
        <f>U$51/Population!AC$66</f>
        <v>0.84069886947584793</v>
      </c>
      <c r="V191" s="82">
        <f>V$51/Population!AD$66</f>
        <v>0.84177654406662039</v>
      </c>
      <c r="W191" s="82">
        <f>W$51/Population!AE$66</f>
        <v>0.84231670572480755</v>
      </c>
      <c r="X191" s="82">
        <f>X$51/Population!AF$66</f>
        <v>0.84328109369789928</v>
      </c>
      <c r="Y191" s="82">
        <f>Y$51/Population!AG$66</f>
        <v>0.84432717678100266</v>
      </c>
      <c r="Z191" s="82">
        <f>Z$51/Population!AH$66</f>
        <v>0.84484964811260399</v>
      </c>
      <c r="AA191" s="82">
        <f>AA$51/Population!AI$66</f>
        <v>0.84569640062597806</v>
      </c>
      <c r="AB191" s="82">
        <f>AB$51/Population!AJ$66</f>
        <v>0.84622467771639043</v>
      </c>
      <c r="AC191" s="82">
        <f>AC$51/Population!AK$66</f>
        <v>0.84686292001189412</v>
      </c>
      <c r="AD191" s="82">
        <f>AD$51/Population!AL$66</f>
        <v>0.84721407624633427</v>
      </c>
      <c r="AE191" s="82">
        <f>AE$51/Population!AM$66</f>
        <v>0.84759738413420527</v>
      </c>
      <c r="AF191" s="82">
        <f>AF$51/Population!AN$66</f>
        <v>0.84826472962066179</v>
      </c>
      <c r="AG191" s="82">
        <f>AG$51/Population!AO$66</f>
        <v>0.84842105263157896</v>
      </c>
      <c r="AH191" s="82">
        <f>AH$51/Population!AP$66</f>
        <v>0.84875</v>
      </c>
      <c r="AI191" s="82">
        <f>AI$51/Population!AQ$66</f>
        <v>0.84893822393822393</v>
      </c>
      <c r="AJ191" s="82">
        <f>AJ$51/Population!AR$66</f>
        <v>0.84941234084231143</v>
      </c>
      <c r="AK191" s="82">
        <f>AK$51/Population!AS$66</f>
        <v>0.84952053110400783</v>
      </c>
      <c r="AL191" s="82">
        <f>AL$51/Population!AT$66</f>
        <v>0.8495955510616785</v>
      </c>
      <c r="AM191" s="82">
        <f>AM$51/Population!AU$66</f>
        <v>0.84959141981613895</v>
      </c>
      <c r="AN191" s="82">
        <f>AN$51/Population!AV$66</f>
        <v>0.85</v>
      </c>
      <c r="AO191" s="82">
        <f>AO$51/Population!AW$66</f>
        <v>0.84988085782366962</v>
      </c>
      <c r="AP191" s="82">
        <f>AP$51/Population!AX$66</f>
        <v>0.84998631261976454</v>
      </c>
      <c r="AQ191" s="82">
        <f>AQ$51/Population!AY$66</f>
        <v>0.85019785189372532</v>
      </c>
      <c r="AR191" s="82">
        <f>AR$51/Population!AZ$66</f>
        <v>0.8502777777777778</v>
      </c>
      <c r="AS191" s="82">
        <f>AS$51/Population!BA$66</f>
        <v>0.85021276595744677</v>
      </c>
      <c r="AT191" s="82">
        <f>AT$51/Population!BB$66</f>
        <v>0.85010327530244911</v>
      </c>
      <c r="AU191" s="82">
        <f>AU$51/Population!BC$66</f>
        <v>0.85007451564828618</v>
      </c>
      <c r="AV191" s="82">
        <f>AV$51/Population!BD$66</f>
        <v>0.85017626321974149</v>
      </c>
      <c r="AW191" s="82">
        <f>AW$51/Population!BE$66</f>
        <v>0.85023584905660377</v>
      </c>
      <c r="AX191" s="82">
        <f>AX$51/Population!BF$66</f>
        <v>0.85028901734104045</v>
      </c>
      <c r="AY191" s="82">
        <f>AY$51/Population!BG$66</f>
        <v>0.85033444816053516</v>
      </c>
      <c r="AZ191" s="82">
        <f>AZ$51/Population!BH$66</f>
        <v>0.85032362459546929</v>
      </c>
      <c r="BA191" s="82">
        <f>BA$51/Population!BI$66</f>
        <v>0.85029940119760483</v>
      </c>
      <c r="BB191" s="82">
        <f>BB$51/Population!BJ$66</f>
        <v>0.85007974481658688</v>
      </c>
      <c r="BC191" s="82">
        <f>BC$51/Population!BK$66</f>
        <v>0.85037674919268025</v>
      </c>
      <c r="BD191" s="82">
        <f>BD$51/Population!BL$66</f>
        <v>0.85017706347044397</v>
      </c>
    </row>
    <row r="192" spans="3:56" x14ac:dyDescent="0.2">
      <c r="C192" s="28">
        <v>57</v>
      </c>
      <c r="E192" s="82">
        <f>E$52/Population!M$67</f>
        <v>0.79308135810377967</v>
      </c>
      <c r="F192" s="82">
        <f>F$52/Population!N$67</f>
        <v>0.7968797797491588</v>
      </c>
      <c r="G192" s="82">
        <f>G$52/Population!O$67</f>
        <v>0.8</v>
      </c>
      <c r="H192" s="82">
        <f>H$52/Population!P$67</f>
        <v>0.80309339678762637</v>
      </c>
      <c r="I192" s="82">
        <f>I$52/Population!Q$67</f>
        <v>0.80631451123254405</v>
      </c>
      <c r="J192" s="82">
        <f>J$52/Population!R$67</f>
        <v>0.80905945265806856</v>
      </c>
      <c r="K192" s="82">
        <f>K$52/Population!S$67</f>
        <v>0.8113327002215891</v>
      </c>
      <c r="L192" s="82">
        <f>L$52/Population!T$67</f>
        <v>0.81405472636815923</v>
      </c>
      <c r="M192" s="82">
        <f>M$52/Population!U$67</f>
        <v>0.81596794081381008</v>
      </c>
      <c r="N192" s="82">
        <f>N$52/Population!V$67</f>
        <v>0.81823689790972431</v>
      </c>
      <c r="O192" s="82">
        <f>O$52/Population!W$67</f>
        <v>0.82024856016974845</v>
      </c>
      <c r="P192" s="82">
        <f>P$52/Population!X$67</f>
        <v>0.82196969696969702</v>
      </c>
      <c r="Q192" s="82">
        <f>Q$52/Population!Y$67</f>
        <v>0.82359952324195473</v>
      </c>
      <c r="R192" s="82">
        <f>R$52/Population!Z$67</f>
        <v>0.82515337423312884</v>
      </c>
      <c r="S192" s="82">
        <f>S$52/Population!AA$67</f>
        <v>0.82688649334178821</v>
      </c>
      <c r="T192" s="82">
        <f>T$52/Population!AB$67</f>
        <v>0.8282329713721619</v>
      </c>
      <c r="U192" s="82">
        <f>U$52/Population!AC$67</f>
        <v>0.82942798070296342</v>
      </c>
      <c r="V192" s="82">
        <f>V$52/Population!AD$67</f>
        <v>0.83042137718396714</v>
      </c>
      <c r="W192" s="82">
        <f>W$52/Population!AE$67</f>
        <v>0.83136710617626652</v>
      </c>
      <c r="X192" s="82">
        <f>X$52/Population!AF$67</f>
        <v>0.83255190890823849</v>
      </c>
      <c r="Y192" s="82">
        <f>Y$52/Population!AG$67</f>
        <v>0.83294431477159048</v>
      </c>
      <c r="Z192" s="82">
        <f>Z$52/Population!AH$67</f>
        <v>0.83410290237467022</v>
      </c>
      <c r="AA192" s="82">
        <f>AA$52/Population!AI$67</f>
        <v>0.83461292386436337</v>
      </c>
      <c r="AB192" s="82">
        <f>AB$52/Population!AJ$67</f>
        <v>0.83536776212832553</v>
      </c>
      <c r="AC192" s="82">
        <f>AC$52/Population!AK$67</f>
        <v>0.83578882750153471</v>
      </c>
      <c r="AD192" s="82">
        <f>AD$52/Population!AL$67</f>
        <v>0.83620689655172409</v>
      </c>
      <c r="AE192" s="82">
        <f>AE$52/Population!AM$67</f>
        <v>0.83695014662756595</v>
      </c>
      <c r="AF192" s="82">
        <f>AF$52/Population!AN$67</f>
        <v>0.83736138754620415</v>
      </c>
      <c r="AG192" s="82">
        <f>AG$52/Population!AO$67</f>
        <v>0.83777239709443097</v>
      </c>
      <c r="AH192" s="82">
        <f>AH$52/Population!AP$67</f>
        <v>0.8381578947368421</v>
      </c>
      <c r="AI192" s="82">
        <f>AI$52/Population!AQ$67</f>
        <v>0.83825000000000005</v>
      </c>
      <c r="AJ192" s="82">
        <f>AJ$52/Population!AR$67</f>
        <v>0.83832046332046328</v>
      </c>
      <c r="AK192" s="82">
        <f>AK$52/Population!AS$67</f>
        <v>0.83867809057527543</v>
      </c>
      <c r="AL192" s="82">
        <f>AL$52/Population!AT$67</f>
        <v>0.83874139626352018</v>
      </c>
      <c r="AM192" s="82">
        <f>AM$52/Population!AU$67</f>
        <v>0.8390194591862522</v>
      </c>
      <c r="AN192" s="82">
        <f>AN$52/Population!AV$67</f>
        <v>0.83916262445749301</v>
      </c>
      <c r="AO192" s="82">
        <f>AO$52/Population!AW$67</f>
        <v>0.8390894819466248</v>
      </c>
      <c r="AP192" s="82">
        <f>AP$52/Population!AX$67</f>
        <v>0.83933298041291693</v>
      </c>
      <c r="AQ192" s="82">
        <f>AQ$52/Population!AY$67</f>
        <v>0.83935413245758073</v>
      </c>
      <c r="AR192" s="82">
        <f>AR$52/Population!AZ$67</f>
        <v>0.83954802259887007</v>
      </c>
      <c r="AS192" s="82">
        <f>AS$52/Population!BA$67</f>
        <v>0.83953359244863968</v>
      </c>
      <c r="AT192" s="82">
        <f>AT$52/Population!BB$67</f>
        <v>0.83952367451091581</v>
      </c>
      <c r="AU192" s="82">
        <f>AU$52/Population!BC$67</f>
        <v>0.83957534650545562</v>
      </c>
      <c r="AV192" s="82">
        <f>AV$52/Population!BD$67</f>
        <v>0.83973786118558236</v>
      </c>
      <c r="AW192" s="82">
        <f>AW$52/Population!BE$67</f>
        <v>0.83969465648854957</v>
      </c>
      <c r="AX192" s="82">
        <f>AX$52/Population!BF$67</f>
        <v>0.83946980854197351</v>
      </c>
      <c r="AY192" s="82">
        <f>AY$52/Population!BG$67</f>
        <v>0.83944556742708631</v>
      </c>
      <c r="AZ192" s="82">
        <f>AZ$52/Population!BH$67</f>
        <v>0.83955431754874654</v>
      </c>
      <c r="BA192" s="82">
        <f>BA$52/Population!BI$67</f>
        <v>0.839622641509434</v>
      </c>
      <c r="BB192" s="82">
        <f>BB$52/Population!BJ$67</f>
        <v>0.83954310579276581</v>
      </c>
      <c r="BC192" s="82">
        <f>BC$52/Population!BK$67</f>
        <v>0.83953241232731135</v>
      </c>
      <c r="BD192" s="82">
        <f>BD$52/Population!BL$67</f>
        <v>0.83947297660661468</v>
      </c>
    </row>
    <row r="193" spans="3:56" x14ac:dyDescent="0.2">
      <c r="C193" s="28">
        <v>58</v>
      </c>
      <c r="E193" s="82">
        <f>E$53/Population!M$68</f>
        <v>0.77980456026058631</v>
      </c>
      <c r="F193" s="82">
        <f>F$53/Population!N$68</f>
        <v>0.78368000000000004</v>
      </c>
      <c r="G193" s="82">
        <f>G$53/Population!O$68</f>
        <v>0.78746177370030579</v>
      </c>
      <c r="H193" s="82">
        <f>H$53/Population!P$68</f>
        <v>0.79124175164967003</v>
      </c>
      <c r="I193" s="82">
        <f>I$53/Population!Q$68</f>
        <v>0.79434523809523805</v>
      </c>
      <c r="J193" s="82">
        <f>J$53/Population!R$68</f>
        <v>0.79762989972652687</v>
      </c>
      <c r="K193" s="82">
        <f>K$53/Population!S$68</f>
        <v>0.80044066729619134</v>
      </c>
      <c r="L193" s="82">
        <f>L$53/Population!T$68</f>
        <v>0.80354879594423323</v>
      </c>
      <c r="M193" s="82">
        <f>M$53/Population!U$68</f>
        <v>0.8061605476042315</v>
      </c>
      <c r="N193" s="82">
        <f>N$53/Population!V$68</f>
        <v>0.80870101820425799</v>
      </c>
      <c r="O193" s="82">
        <f>O$53/Population!W$68</f>
        <v>0.81085177326462565</v>
      </c>
      <c r="P193" s="82">
        <f>P$53/Population!X$68</f>
        <v>0.8126137052759248</v>
      </c>
      <c r="Q193" s="82">
        <f>Q$53/Population!Y$68</f>
        <v>0.81457725947521864</v>
      </c>
      <c r="R193" s="82">
        <f>R$53/Population!Z$68</f>
        <v>0.81639344262295077</v>
      </c>
      <c r="S193" s="82">
        <f>S$53/Population!AA$68</f>
        <v>0.8183491868671372</v>
      </c>
      <c r="T193" s="82">
        <f>T$53/Population!AB$68</f>
        <v>0.81959416613823721</v>
      </c>
      <c r="U193" s="82">
        <f>U$53/Population!AC$68</f>
        <v>0.82132280355380061</v>
      </c>
      <c r="V193" s="82">
        <f>V$53/Population!AD$68</f>
        <v>0.82225284188770242</v>
      </c>
      <c r="W193" s="82">
        <f>W$53/Population!AE$68</f>
        <v>0.82391229873244265</v>
      </c>
      <c r="X193" s="82">
        <f>X$53/Population!AF$68</f>
        <v>0.82483524106833161</v>
      </c>
      <c r="Y193" s="82">
        <f>Y$53/Population!AG$68</f>
        <v>0.82591228657515903</v>
      </c>
      <c r="Z193" s="82">
        <f>Z$53/Population!AH$68</f>
        <v>0.82660886962320779</v>
      </c>
      <c r="AA193" s="82">
        <f>AA$53/Population!AI$68</f>
        <v>0.82756346851302343</v>
      </c>
      <c r="AB193" s="82">
        <f>AB$53/Population!AJ$68</f>
        <v>0.82826990725935401</v>
      </c>
      <c r="AC193" s="82">
        <f>AC$53/Population!AK$68</f>
        <v>0.82884856070087609</v>
      </c>
      <c r="AD193" s="82">
        <f>AD$53/Population!AL$68</f>
        <v>0.82939552009818962</v>
      </c>
      <c r="AE193" s="82">
        <f>AE$53/Population!AM$68</f>
        <v>0.83001485884101045</v>
      </c>
      <c r="AF193" s="82">
        <f>AF$53/Population!AN$68</f>
        <v>0.83054822632659042</v>
      </c>
      <c r="AG193" s="82">
        <f>AG$53/Population!AO$68</f>
        <v>0.83086981239340529</v>
      </c>
      <c r="AH193" s="82">
        <f>AH$53/Population!AP$68</f>
        <v>0.83136094674556216</v>
      </c>
      <c r="AI193" s="82">
        <f>AI$53/Population!AQ$68</f>
        <v>0.83162325703762163</v>
      </c>
      <c r="AJ193" s="82">
        <f>AJ$53/Population!AR$68</f>
        <v>0.83179205198700323</v>
      </c>
      <c r="AK193" s="82">
        <f>AK$53/Population!AS$68</f>
        <v>0.83208685162846807</v>
      </c>
      <c r="AL193" s="82">
        <f>AL$53/Population!AT$68</f>
        <v>0.83235438081253055</v>
      </c>
      <c r="AM193" s="82">
        <f>AM$53/Population!AU$68</f>
        <v>0.83239125092160238</v>
      </c>
      <c r="AN193" s="82">
        <f>AN$53/Population!AV$68</f>
        <v>0.83253346804748674</v>
      </c>
      <c r="AO193" s="82">
        <f>AO$53/Population!AW$68</f>
        <v>0.83261035978565956</v>
      </c>
      <c r="AP193" s="82">
        <f>AP$53/Population!AX$68</f>
        <v>0.83263598326359833</v>
      </c>
      <c r="AQ193" s="82">
        <f>AQ$53/Population!AY$68</f>
        <v>0.83284845279026709</v>
      </c>
      <c r="AR193" s="82">
        <f>AR$53/Population!AZ$68</f>
        <v>0.83292316106097897</v>
      </c>
      <c r="AS193" s="82">
        <f>AS$53/Population!BA$68</f>
        <v>0.8329099633079311</v>
      </c>
      <c r="AT193" s="82">
        <f>AT$53/Population!BB$68</f>
        <v>0.83300970873786406</v>
      </c>
      <c r="AU193" s="82">
        <f>AU$53/Population!BC$68</f>
        <v>0.83314447592067986</v>
      </c>
      <c r="AV193" s="82">
        <f>AV$53/Population!BD$68</f>
        <v>0.83294048320565706</v>
      </c>
      <c r="AW193" s="82">
        <f>AW$53/Population!BE$68</f>
        <v>0.83333333333333337</v>
      </c>
      <c r="AX193" s="82">
        <f>AX$53/Population!BF$68</f>
        <v>0.83308888237019652</v>
      </c>
      <c r="AY193" s="82">
        <f>AY$53/Population!BG$68</f>
        <v>0.83313713949381984</v>
      </c>
      <c r="AZ193" s="82">
        <f>AZ$53/Population!BH$68</f>
        <v>0.83323716099249856</v>
      </c>
      <c r="BA193" s="82">
        <f>BA$53/Population!BI$68</f>
        <v>0.8330550918196995</v>
      </c>
      <c r="BB193" s="82">
        <f>BB$53/Population!BJ$68</f>
        <v>0.83306408185245018</v>
      </c>
      <c r="BC193" s="82">
        <f>BC$53/Population!BK$68</f>
        <v>0.83315217391304353</v>
      </c>
      <c r="BD193" s="82">
        <f>BD$53/Population!BL$68</f>
        <v>0.83306794055201694</v>
      </c>
    </row>
    <row r="194" spans="3:56" x14ac:dyDescent="0.2">
      <c r="C194" s="28">
        <v>59</v>
      </c>
      <c r="E194" s="82">
        <f>E$54/Population!M$69</f>
        <v>0.76506639427987744</v>
      </c>
      <c r="F194" s="82">
        <f>F$54/Population!N$69</f>
        <v>0.77033181522446326</v>
      </c>
      <c r="G194" s="82">
        <f>G$54/Population!O$69</f>
        <v>0.77486408698433007</v>
      </c>
      <c r="H194" s="82">
        <f>H$54/Population!P$69</f>
        <v>0.77920489296636086</v>
      </c>
      <c r="I194" s="82">
        <f>I$54/Population!Q$69</f>
        <v>0.78307830783078303</v>
      </c>
      <c r="J194" s="82">
        <f>J$54/Population!R$69</f>
        <v>0.78694874851013108</v>
      </c>
      <c r="K194" s="82">
        <f>K$54/Population!S$69</f>
        <v>0.79045012165450124</v>
      </c>
      <c r="L194" s="82">
        <f>L$54/Population!T$69</f>
        <v>0.79395085066162574</v>
      </c>
      <c r="M194" s="82">
        <f>M$54/Population!U$69</f>
        <v>0.79708306911857962</v>
      </c>
      <c r="N194" s="82">
        <f>N$54/Population!V$69</f>
        <v>0.79981320049813198</v>
      </c>
      <c r="O194" s="82">
        <f>O$54/Population!W$69</f>
        <v>0.80246913580246915</v>
      </c>
      <c r="P194" s="82">
        <f>P$54/Population!X$69</f>
        <v>0.80503335354760464</v>
      </c>
      <c r="Q194" s="82">
        <f>Q$54/Population!Y$69</f>
        <v>0.80764563106796117</v>
      </c>
      <c r="R194" s="82">
        <f>R$54/Population!Z$69</f>
        <v>0.80980163360560098</v>
      </c>
      <c r="S194" s="82">
        <f>S$54/Population!AA$69</f>
        <v>0.81156827668455578</v>
      </c>
      <c r="T194" s="82">
        <f>T$54/Population!AB$69</f>
        <v>0.81343970543111388</v>
      </c>
      <c r="U194" s="82">
        <f>U$54/Population!AC$69</f>
        <v>0.81515535827520613</v>
      </c>
      <c r="V194" s="82">
        <f>V$54/Population!AD$69</f>
        <v>0.81677631578947374</v>
      </c>
      <c r="W194" s="82">
        <f>W$54/Population!AE$69</f>
        <v>0.81818181818181823</v>
      </c>
      <c r="X194" s="82">
        <f>X$54/Population!AF$69</f>
        <v>0.81952054794520546</v>
      </c>
      <c r="Y194" s="82">
        <f>Y$54/Population!AG$69</f>
        <v>0.82073509015256585</v>
      </c>
      <c r="Z194" s="82">
        <f>Z$54/Population!AH$69</f>
        <v>0.82195448460508702</v>
      </c>
      <c r="AA194" s="82">
        <f>AA$54/Population!AI$69</f>
        <v>0.82272575808063975</v>
      </c>
      <c r="AB194" s="82">
        <f>AB$54/Population!AJ$69</f>
        <v>0.82339373970345964</v>
      </c>
      <c r="AC194" s="82">
        <f>AC$54/Population!AK$69</f>
        <v>0.82422499201022692</v>
      </c>
      <c r="AD194" s="82">
        <f>AD$54/Population!AL$69</f>
        <v>0.82489055659787369</v>
      </c>
      <c r="AE194" s="82">
        <f>AE$54/Population!AM$69</f>
        <v>0.82551364612082179</v>
      </c>
      <c r="AF194" s="82">
        <f>AF$54/Population!AN$69</f>
        <v>0.8262032085561497</v>
      </c>
      <c r="AG194" s="82">
        <f>AG$54/Population!AO$69</f>
        <v>0.82683855845297394</v>
      </c>
      <c r="AH194" s="82">
        <f>AH$54/Population!AP$69</f>
        <v>0.82727272727272727</v>
      </c>
      <c r="AI194" s="82">
        <f>AI$54/Population!AQ$69</f>
        <v>0.82768817204301071</v>
      </c>
      <c r="AJ194" s="82">
        <f>AJ$54/Population!AR$69</f>
        <v>0.82803050223507757</v>
      </c>
      <c r="AK194" s="82">
        <f>AK$54/Population!AS$69</f>
        <v>0.828335832083958</v>
      </c>
      <c r="AL194" s="82">
        <f>AL$54/Population!AT$69</f>
        <v>0.82850940665701878</v>
      </c>
      <c r="AM194" s="82">
        <f>AM$54/Population!AU$69</f>
        <v>0.82852250489236789</v>
      </c>
      <c r="AN194" s="82">
        <f>AN$54/Population!AV$69</f>
        <v>0.828788995332842</v>
      </c>
      <c r="AO194" s="82">
        <f>AO$54/Population!AW$69</f>
        <v>0.82883110325675335</v>
      </c>
      <c r="AP194" s="82">
        <f>AP$54/Population!AX$69</f>
        <v>0.82912522315735782</v>
      </c>
      <c r="AQ194" s="82">
        <f>AQ$54/Population!AY$69</f>
        <v>0.82932566649242023</v>
      </c>
      <c r="AR194" s="82">
        <f>AR$54/Population!AZ$69</f>
        <v>0.82901691331923888</v>
      </c>
      <c r="AS194" s="82">
        <f>AS$54/Population!BA$69</f>
        <v>0.82923497267759561</v>
      </c>
      <c r="AT194" s="82">
        <f>AT$54/Population!BB$69</f>
        <v>0.82938522278623805</v>
      </c>
      <c r="AU194" s="82">
        <f>AU$54/Population!BC$69</f>
        <v>0.82954545454545459</v>
      </c>
      <c r="AV194" s="82">
        <f>AV$54/Population!BD$69</f>
        <v>0.82937181663837012</v>
      </c>
      <c r="AW194" s="82">
        <f>AW$54/Population!BE$69</f>
        <v>0.82931135962330782</v>
      </c>
      <c r="AX194" s="82">
        <f>AX$54/Population!BF$69</f>
        <v>0.82966706302021398</v>
      </c>
      <c r="AY194" s="82">
        <f>AY$54/Population!BG$69</f>
        <v>0.82947553472018754</v>
      </c>
      <c r="AZ194" s="82">
        <f>AZ$54/Population!BH$69</f>
        <v>0.829512051734274</v>
      </c>
      <c r="BA194" s="82">
        <f>BA$54/Population!BI$69</f>
        <v>0.82939481268011528</v>
      </c>
      <c r="BB194" s="82">
        <f>BB$54/Population!BJ$69</f>
        <v>0.82934963868816014</v>
      </c>
      <c r="BC194" s="82">
        <f>BC$54/Population!BK$69</f>
        <v>0.82947821409359868</v>
      </c>
      <c r="BD194" s="82">
        <f>BD$54/Population!BL$69</f>
        <v>0.82953311617806735</v>
      </c>
    </row>
    <row r="195" spans="3:56" x14ac:dyDescent="0.2">
      <c r="C195" s="28">
        <v>60</v>
      </c>
      <c r="E195" s="82">
        <f>E$55/Population!M$70</f>
        <v>0.74171270718232041</v>
      </c>
      <c r="F195" s="82">
        <f>F$55/Population!N$70</f>
        <v>0.74736484189051344</v>
      </c>
      <c r="G195" s="82">
        <f>G$55/Population!O$70</f>
        <v>0.75260078023407018</v>
      </c>
      <c r="H195" s="82">
        <f>H$55/Population!P$70</f>
        <v>0.75727534377998085</v>
      </c>
      <c r="I195" s="82">
        <f>I$55/Population!Q$70</f>
        <v>0.76193390452876375</v>
      </c>
      <c r="J195" s="82">
        <f>J$55/Population!R$70</f>
        <v>0.76622596153846156</v>
      </c>
      <c r="K195" s="82">
        <f>K$55/Population!S$70</f>
        <v>0.77028639618138428</v>
      </c>
      <c r="L195" s="82">
        <f>L$55/Population!T$70</f>
        <v>0.77382039573820394</v>
      </c>
      <c r="M195" s="82">
        <f>M$55/Population!U$70</f>
        <v>0.77742749054224469</v>
      </c>
      <c r="N195" s="82">
        <f>N$55/Population!V$70</f>
        <v>0.78045685279187815</v>
      </c>
      <c r="O195" s="82">
        <f>O$55/Population!W$70</f>
        <v>0.7838006230529595</v>
      </c>
      <c r="P195" s="82">
        <f>P$55/Population!X$70</f>
        <v>0.78659666460778255</v>
      </c>
      <c r="Q195" s="82">
        <f>Q$55/Population!Y$70</f>
        <v>0.78913834951456308</v>
      </c>
      <c r="R195" s="82">
        <f>R$55/Population!Z$70</f>
        <v>0.79150227617602431</v>
      </c>
      <c r="S195" s="82">
        <f>S$55/Population!AA$70</f>
        <v>0.79369711117595565</v>
      </c>
      <c r="T195" s="82">
        <f>T$55/Population!AB$70</f>
        <v>0.79570533850283331</v>
      </c>
      <c r="U195" s="82">
        <f>U$55/Population!AC$70</f>
        <v>0.79772866789441377</v>
      </c>
      <c r="V195" s="82">
        <f>V$55/Population!AD$70</f>
        <v>0.79930247305009516</v>
      </c>
      <c r="W195" s="82">
        <f>W$55/Population!AE$70</f>
        <v>0.80098684210526316</v>
      </c>
      <c r="X195" s="82">
        <f>X$55/Population!AF$70</f>
        <v>0.80240963855421688</v>
      </c>
      <c r="Y195" s="82">
        <f>Y$55/Population!AG$70</f>
        <v>0.8039014373716632</v>
      </c>
      <c r="Z195" s="82">
        <f>Z$55/Population!AH$70</f>
        <v>0.80492030492030497</v>
      </c>
      <c r="AA195" s="82">
        <f>AA$55/Population!AI$70</f>
        <v>0.80602006688963213</v>
      </c>
      <c r="AB195" s="82">
        <f>AB$55/Population!AJ$70</f>
        <v>0.80712858094603601</v>
      </c>
      <c r="AC195" s="82">
        <f>AC$55/Population!AK$70</f>
        <v>0.80803424432005266</v>
      </c>
      <c r="AD195" s="82">
        <f>AD$55/Population!AL$70</f>
        <v>0.80894568690095847</v>
      </c>
      <c r="AE195" s="82">
        <f>AE$55/Population!AM$70</f>
        <v>0.80937499999999996</v>
      </c>
      <c r="AF195" s="82">
        <f>AF$55/Population!AN$70</f>
        <v>0.80999080600674223</v>
      </c>
      <c r="AG195" s="82">
        <f>AG$55/Population!AO$70</f>
        <v>0.81086698337292162</v>
      </c>
      <c r="AH195" s="82">
        <f>AH$55/Population!AP$70</f>
        <v>0.81112737920937039</v>
      </c>
      <c r="AI195" s="82">
        <f>AI$55/Population!AQ$70</f>
        <v>0.8114707552526973</v>
      </c>
      <c r="AJ195" s="82">
        <f>AJ$55/Population!AR$70</f>
        <v>0.81192907039226225</v>
      </c>
      <c r="AK195" s="82">
        <f>AK$55/Population!AS$70</f>
        <v>0.81235216819973721</v>
      </c>
      <c r="AL195" s="82">
        <f>AL$55/Population!AT$70</f>
        <v>0.81268731268731265</v>
      </c>
      <c r="AM195" s="82">
        <f>AM$55/Population!AU$70</f>
        <v>0.81268081002892956</v>
      </c>
      <c r="AN195" s="82">
        <f>AN$55/Population!AV$70</f>
        <v>0.81295843520782396</v>
      </c>
      <c r="AO195" s="82">
        <f>AO$55/Population!AW$70</f>
        <v>0.81315983304689421</v>
      </c>
      <c r="AP195" s="82">
        <f>AP$55/Population!AX$70</f>
        <v>0.81327277315165281</v>
      </c>
      <c r="AQ195" s="82">
        <f>AQ$55/Population!AY$70</f>
        <v>0.81345565749235471</v>
      </c>
      <c r="AR195" s="82">
        <f>AR$55/Population!AZ$70</f>
        <v>0.8135283363802559</v>
      </c>
      <c r="AS195" s="82">
        <f>AS$55/Population!BA$70</f>
        <v>0.81357274887773967</v>
      </c>
      <c r="AT195" s="82">
        <f>AT$55/Population!BB$70</f>
        <v>0.81381381381381379</v>
      </c>
      <c r="AU195" s="82">
        <f>AU$55/Population!BC$70</f>
        <v>0.81352112676056343</v>
      </c>
      <c r="AV195" s="82">
        <f>AV$55/Population!BD$70</f>
        <v>0.81367663344407526</v>
      </c>
      <c r="AW195" s="82">
        <f>AW$55/Population!BE$70</f>
        <v>0.81368391292055409</v>
      </c>
      <c r="AX195" s="82">
        <f>AX$55/Population!BF$70</f>
        <v>0.81363903586125808</v>
      </c>
      <c r="AY195" s="82">
        <f>AY$55/Population!BG$70</f>
        <v>0.81359453843870588</v>
      </c>
      <c r="AZ195" s="82">
        <f>AZ$55/Population!BH$70</f>
        <v>0.81363370392042134</v>
      </c>
      <c r="BA195" s="82">
        <f>BA$55/Population!BI$70</f>
        <v>0.81385789782736351</v>
      </c>
      <c r="BB195" s="82">
        <f>BB$55/Population!BJ$70</f>
        <v>0.81352517985611505</v>
      </c>
      <c r="BC195" s="82">
        <f>BC$55/Population!BK$70</f>
        <v>0.81371460299833431</v>
      </c>
      <c r="BD195" s="82">
        <f>BD$55/Population!BL$70</f>
        <v>0.81380977968833956</v>
      </c>
    </row>
    <row r="196" spans="3:56" x14ac:dyDescent="0.2">
      <c r="C196" s="28">
        <v>61</v>
      </c>
      <c r="E196" s="82">
        <f>E$56/Population!M$71</f>
        <v>0.70711743772241997</v>
      </c>
      <c r="F196" s="82">
        <f>F$56/Population!N$71</f>
        <v>0.71290545203588684</v>
      </c>
      <c r="G196" s="82">
        <f>G$56/Population!O$71</f>
        <v>0.71846310778646716</v>
      </c>
      <c r="H196" s="82">
        <f>H$56/Population!P$71</f>
        <v>0.72325203252032522</v>
      </c>
      <c r="I196" s="82">
        <f>I$56/Population!Q$71</f>
        <v>0.7282330345710627</v>
      </c>
      <c r="J196" s="82">
        <f>J$56/Population!R$71</f>
        <v>0.73276126264174068</v>
      </c>
      <c r="K196" s="82">
        <f>K$56/Population!S$71</f>
        <v>0.73676293622141997</v>
      </c>
      <c r="L196" s="82">
        <f>L$56/Population!T$71</f>
        <v>0.74103942652329746</v>
      </c>
      <c r="M196" s="82">
        <f>M$56/Population!U$71</f>
        <v>0.7445900640048766</v>
      </c>
      <c r="N196" s="82">
        <f>N$56/Population!V$71</f>
        <v>0.74810606060606055</v>
      </c>
      <c r="O196" s="82">
        <f>O$56/Population!W$71</f>
        <v>0.75134963480469985</v>
      </c>
      <c r="P196" s="82">
        <f>P$56/Population!X$71</f>
        <v>0.75459931400062363</v>
      </c>
      <c r="Q196" s="82">
        <f>Q$56/Population!Y$71</f>
        <v>0.75710754017305315</v>
      </c>
      <c r="R196" s="82">
        <f>R$56/Population!Z$71</f>
        <v>0.75979350136653512</v>
      </c>
      <c r="S196" s="82">
        <f>S$56/Population!AA$71</f>
        <v>0.76222289705435775</v>
      </c>
      <c r="T196" s="82">
        <f>T$56/Population!AB$71</f>
        <v>0.76437956204379565</v>
      </c>
      <c r="U196" s="82">
        <f>U$56/Population!AC$71</f>
        <v>0.76633840644583706</v>
      </c>
      <c r="V196" s="82">
        <f>V$56/Population!AD$71</f>
        <v>0.76819158735032234</v>
      </c>
      <c r="W196" s="82">
        <f>W$56/Population!AE$71</f>
        <v>0.77006026006977479</v>
      </c>
      <c r="X196" s="82">
        <f>X$56/Population!AF$71</f>
        <v>0.77138157894736847</v>
      </c>
      <c r="Y196" s="82">
        <f>Y$56/Population!AG$71</f>
        <v>0.7728055077452668</v>
      </c>
      <c r="Z196" s="82">
        <f>Z$56/Population!AH$71</f>
        <v>0.77412731006160163</v>
      </c>
      <c r="AA196" s="82">
        <f>AA$56/Population!AI$71</f>
        <v>0.77519916868721861</v>
      </c>
      <c r="AB196" s="82">
        <f>AB$56/Population!AJ$71</f>
        <v>0.77632898696088259</v>
      </c>
      <c r="AC196" s="82">
        <f>AC$56/Population!AK$71</f>
        <v>0.77755577755577754</v>
      </c>
      <c r="AD196" s="82">
        <f>AD$56/Population!AL$71</f>
        <v>0.77814351547070437</v>
      </c>
      <c r="AE196" s="82">
        <f>AE$56/Population!AM$71</f>
        <v>0.77873563218390807</v>
      </c>
      <c r="AF196" s="82">
        <f>AF$56/Population!AN$71</f>
        <v>0.77944392377382066</v>
      </c>
      <c r="AG196" s="82">
        <f>AG$56/Population!AO$71</f>
        <v>0.78002450980392157</v>
      </c>
      <c r="AH196" s="82">
        <f>AH$56/Population!AP$71</f>
        <v>0.78094390026714156</v>
      </c>
      <c r="AI196" s="82">
        <f>AI$56/Population!AQ$71</f>
        <v>0.78132318501170961</v>
      </c>
      <c r="AJ196" s="82">
        <f>AJ$56/Population!AR$71</f>
        <v>0.78172012489355658</v>
      </c>
      <c r="AK196" s="82">
        <f>AK$56/Population!AS$71</f>
        <v>0.78189632017190436</v>
      </c>
      <c r="AL196" s="82">
        <f>AL$56/Population!AT$71</f>
        <v>0.7821860220704151</v>
      </c>
      <c r="AM196" s="82">
        <f>AM$56/Population!AU$71</f>
        <v>0.78252184769038702</v>
      </c>
      <c r="AN196" s="82">
        <f>AN$56/Population!AV$71</f>
        <v>0.78259821643769578</v>
      </c>
      <c r="AO196" s="82">
        <f>AO$56/Population!AW$71</f>
        <v>0.78269371791737963</v>
      </c>
      <c r="AP196" s="82">
        <f>AP$56/Population!AX$71</f>
        <v>0.78282208588957058</v>
      </c>
      <c r="AQ196" s="82">
        <f>AQ$56/Population!AY$71</f>
        <v>0.78310214375788145</v>
      </c>
      <c r="AR196" s="82">
        <f>AR$56/Population!AZ$71</f>
        <v>0.78323993886907795</v>
      </c>
      <c r="AS196" s="82">
        <f>AS$56/Population!BA$71</f>
        <v>0.78314196242171186</v>
      </c>
      <c r="AT196" s="82">
        <f>AT$56/Population!BB$71</f>
        <v>0.7833201372393771</v>
      </c>
      <c r="AU196" s="82">
        <f>AU$56/Population!BC$71</f>
        <v>0.78341516639388975</v>
      </c>
      <c r="AV196" s="82">
        <f>AV$56/Population!BD$71</f>
        <v>0.78328173374613008</v>
      </c>
      <c r="AW196" s="82">
        <f>AW$56/Population!BE$71</f>
        <v>0.78340248962655601</v>
      </c>
      <c r="AX196" s="82">
        <f>AX$56/Population!BF$71</f>
        <v>0.78339452132166054</v>
      </c>
      <c r="AY196" s="82">
        <f>AY$56/Population!BG$71</f>
        <v>0.78332354668232529</v>
      </c>
      <c r="AZ196" s="82">
        <f>AZ$56/Population!BH$71</f>
        <v>0.78351126927639381</v>
      </c>
      <c r="BA196" s="82">
        <f>BA$56/Population!BI$71</f>
        <v>0.78316773816481589</v>
      </c>
      <c r="BB196" s="82">
        <f>BB$56/Population!BJ$71</f>
        <v>0.78334799179126358</v>
      </c>
      <c r="BC196" s="82">
        <f>BC$56/Population!BK$71</f>
        <v>0.7832710549008336</v>
      </c>
      <c r="BD196" s="82">
        <f>BD$56/Population!BL$71</f>
        <v>0.78341652800887407</v>
      </c>
    </row>
    <row r="197" spans="3:56" x14ac:dyDescent="0.2">
      <c r="C197" s="28">
        <v>62</v>
      </c>
      <c r="E197" s="82">
        <f>E$57/Population!M$72</f>
        <v>0.66471449487554901</v>
      </c>
      <c r="F197" s="82">
        <f>F$57/Population!N$72</f>
        <v>0.6712913553895411</v>
      </c>
      <c r="G197" s="82">
        <f>G$57/Population!O$72</f>
        <v>0.67690714532274765</v>
      </c>
      <c r="H197" s="82">
        <f>H$57/Population!P$72</f>
        <v>0.68254508336168762</v>
      </c>
      <c r="I197" s="82">
        <f>I$57/Population!Q$72</f>
        <v>0.68762214983713354</v>
      </c>
      <c r="J197" s="82">
        <f>J$57/Population!R$72</f>
        <v>0.69275176395125082</v>
      </c>
      <c r="K197" s="82">
        <f>K$57/Population!S$72</f>
        <v>0.697267424009825</v>
      </c>
      <c r="L197" s="82">
        <f>L$57/Population!T$72</f>
        <v>0.70132610006027729</v>
      </c>
      <c r="M197" s="82">
        <f>M$57/Population!U$72</f>
        <v>0.70556552962298025</v>
      </c>
      <c r="N197" s="82">
        <f>N$57/Population!V$72</f>
        <v>0.70909645909645913</v>
      </c>
      <c r="O197" s="82">
        <f>O$57/Population!W$72</f>
        <v>0.71248025276461291</v>
      </c>
      <c r="P197" s="82">
        <f>P$57/Population!X$72</f>
        <v>0.71551176096630642</v>
      </c>
      <c r="Q197" s="82">
        <f>Q$57/Population!Y$72</f>
        <v>0.71878901373283399</v>
      </c>
      <c r="R197" s="82">
        <f>R$57/Population!Z$72</f>
        <v>0.72153465346534651</v>
      </c>
      <c r="S197" s="82">
        <f>S$57/Population!AA$72</f>
        <v>0.72379216043755701</v>
      </c>
      <c r="T197" s="82">
        <f>T$57/Population!AB$72</f>
        <v>0.7264437689969605</v>
      </c>
      <c r="U197" s="82">
        <f>U$57/Population!AC$72</f>
        <v>0.72852133255406193</v>
      </c>
      <c r="V197" s="82">
        <f>V$57/Population!AD$72</f>
        <v>0.73066587040907738</v>
      </c>
      <c r="W197" s="82">
        <f>W$57/Population!AE$72</f>
        <v>0.73241167434715826</v>
      </c>
      <c r="X197" s="82">
        <f>X$57/Population!AF$72</f>
        <v>0.7341370558375635</v>
      </c>
      <c r="Y197" s="82">
        <f>Y$57/Population!AG$72</f>
        <v>0.73552631578947369</v>
      </c>
      <c r="Z197" s="82">
        <f>Z$57/Population!AH$72</f>
        <v>0.73700516351118761</v>
      </c>
      <c r="AA197" s="82">
        <f>AA$57/Population!AI$72</f>
        <v>0.73819301848049279</v>
      </c>
      <c r="AB197" s="82">
        <f>AB$57/Population!AJ$72</f>
        <v>0.73917561482507799</v>
      </c>
      <c r="AC197" s="82">
        <f>AC$57/Population!AK$72</f>
        <v>0.74022066198595793</v>
      </c>
      <c r="AD197" s="82">
        <f>AD$57/Population!AL$72</f>
        <v>0.74134487350199729</v>
      </c>
      <c r="AE197" s="82">
        <f>AE$57/Population!AM$72</f>
        <v>0.74202040144784465</v>
      </c>
      <c r="AF197" s="82">
        <f>AF$57/Population!AN$72</f>
        <v>0.74297573435504471</v>
      </c>
      <c r="AG197" s="82">
        <f>AG$57/Population!AO$72</f>
        <v>0.74328544659587759</v>
      </c>
      <c r="AH197" s="82">
        <f>AH$57/Population!AP$72</f>
        <v>0.74395099540581933</v>
      </c>
      <c r="AI197" s="82">
        <f>AI$57/Population!AQ$72</f>
        <v>0.74451038575667661</v>
      </c>
      <c r="AJ197" s="82">
        <f>AJ$57/Population!AR$72</f>
        <v>0.7448053848405034</v>
      </c>
      <c r="AK197" s="82">
        <f>AK$57/Population!AS$72</f>
        <v>0.74517593643586832</v>
      </c>
      <c r="AL197" s="82">
        <f>AL$57/Population!AT$72</f>
        <v>0.74543501611170782</v>
      </c>
      <c r="AM197" s="82">
        <f>AM$57/Population!AU$72</f>
        <v>0.74573154714998691</v>
      </c>
      <c r="AN197" s="82">
        <f>AN$57/Population!AV$72</f>
        <v>0.74613080379430852</v>
      </c>
      <c r="AO197" s="82">
        <f>AO$57/Population!AW$72</f>
        <v>0.74602409638554212</v>
      </c>
      <c r="AP197" s="82">
        <f>AP$57/Population!AX$72</f>
        <v>0.74633431085043989</v>
      </c>
      <c r="AQ197" s="82">
        <f>AQ$57/Population!AY$72</f>
        <v>0.74631992149165849</v>
      </c>
      <c r="AR197" s="82">
        <f>AR$57/Population!AZ$72</f>
        <v>0.74640786488530375</v>
      </c>
      <c r="AS197" s="82">
        <f>AS$57/Population!BA$72</f>
        <v>0.7466904276985743</v>
      </c>
      <c r="AT197" s="82">
        <f>AT$57/Population!BB$72</f>
        <v>0.74673969744392277</v>
      </c>
      <c r="AU197" s="82">
        <f>AU$57/Population!BC$72</f>
        <v>0.74657172995780585</v>
      </c>
      <c r="AV197" s="82">
        <f>AV$57/Population!BD$72</f>
        <v>0.74679749250476968</v>
      </c>
      <c r="AW197" s="82">
        <f>AW$57/Population!BE$72</f>
        <v>0.74662542182227221</v>
      </c>
      <c r="AX197" s="82">
        <f>AX$57/Population!BF$72</f>
        <v>0.74682144831398567</v>
      </c>
      <c r="AY197" s="82">
        <f>AY$57/Population!BG$72</f>
        <v>0.74689616252821667</v>
      </c>
      <c r="AZ197" s="82">
        <f>AZ$57/Population!BH$72</f>
        <v>0.74684658257553538</v>
      </c>
      <c r="BA197" s="82">
        <f>BA$57/Population!BI$72</f>
        <v>0.74674170616113744</v>
      </c>
      <c r="BB197" s="82">
        <f>BB$57/Population!BJ$72</f>
        <v>0.7468613138686131</v>
      </c>
      <c r="BC197" s="82">
        <f>BC$57/Population!BK$72</f>
        <v>0.74692442882249566</v>
      </c>
      <c r="BD197" s="82">
        <f>BD$57/Population!BL$72</f>
        <v>0.74677002583979324</v>
      </c>
    </row>
    <row r="198" spans="3:56" x14ac:dyDescent="0.2">
      <c r="C198" s="28">
        <v>63</v>
      </c>
      <c r="E198" s="82">
        <f>E$58/Population!M$73</f>
        <v>0.61818865088312669</v>
      </c>
      <c r="F198" s="82">
        <f>F$58/Population!N$73</f>
        <v>0.62467960454046134</v>
      </c>
      <c r="G198" s="82">
        <f>G$58/Population!O$73</f>
        <v>0.63082947668209333</v>
      </c>
      <c r="H198" s="82">
        <f>H$58/Population!P$73</f>
        <v>0.63670929830625644</v>
      </c>
      <c r="I198" s="82">
        <f>I$58/Population!Q$73</f>
        <v>0.64212678936605316</v>
      </c>
      <c r="J198" s="82">
        <f>J$58/Population!R$73</f>
        <v>0.6477309826967026</v>
      </c>
      <c r="K198" s="82">
        <f>K$58/Population!S$73</f>
        <v>0.65231362467866327</v>
      </c>
      <c r="L198" s="82">
        <f>L$58/Population!T$73</f>
        <v>0.65692307692307694</v>
      </c>
      <c r="M198" s="82">
        <f>M$58/Population!U$73</f>
        <v>0.66112956810631229</v>
      </c>
      <c r="N198" s="82">
        <f>N$58/Population!V$73</f>
        <v>0.66516786570743403</v>
      </c>
      <c r="O198" s="82">
        <f>O$58/Population!W$73</f>
        <v>0.66880733944954129</v>
      </c>
      <c r="P198" s="82">
        <f>P$58/Population!X$73</f>
        <v>0.67236467236467234</v>
      </c>
      <c r="Q198" s="82">
        <f>Q$58/Population!Y$73</f>
        <v>0.67558102515122576</v>
      </c>
      <c r="R198" s="82">
        <f>R$58/Population!Z$73</f>
        <v>0.67843750000000003</v>
      </c>
      <c r="S198" s="82">
        <f>S$58/Population!AA$73</f>
        <v>0.68122676579925645</v>
      </c>
      <c r="T198" s="82">
        <f>T$58/Population!AB$73</f>
        <v>0.68381010346926352</v>
      </c>
      <c r="U198" s="82">
        <f>U$58/Population!AC$73</f>
        <v>0.686035898996045</v>
      </c>
      <c r="V198" s="82">
        <f>V$58/Population!AD$73</f>
        <v>0.68812170860152133</v>
      </c>
      <c r="W198" s="82">
        <f>W$58/Population!AE$73</f>
        <v>0.69007770472205621</v>
      </c>
      <c r="X198" s="82">
        <f>X$58/Population!AF$73</f>
        <v>0.69197663695050726</v>
      </c>
      <c r="Y198" s="82">
        <f>Y$58/Population!AG$73</f>
        <v>0.69365079365079363</v>
      </c>
      <c r="Z198" s="82">
        <f>Z$58/Population!AH$73</f>
        <v>0.69486504279131012</v>
      </c>
      <c r="AA198" s="82">
        <f>AA$58/Population!AI$73</f>
        <v>0.69628099173553715</v>
      </c>
      <c r="AB198" s="82">
        <f>AB$58/Population!AJ$73</f>
        <v>0.69746748802190284</v>
      </c>
      <c r="AC198" s="82">
        <f>AC$58/Population!AK$73</f>
        <v>0.69864911673016972</v>
      </c>
      <c r="AD198" s="82">
        <f>AD$58/Population!AL$73</f>
        <v>0.69943162821798732</v>
      </c>
      <c r="AE198" s="82">
        <f>AE$58/Population!AM$73</f>
        <v>0.7003994673768309</v>
      </c>
      <c r="AF198" s="82">
        <f>AF$58/Population!AN$73</f>
        <v>0.70144832126398948</v>
      </c>
      <c r="AG198" s="82">
        <f>AG$58/Population!AO$73</f>
        <v>0.70210727969348663</v>
      </c>
      <c r="AH198" s="82">
        <f>AH$58/Population!AP$73</f>
        <v>0.70237351655215485</v>
      </c>
      <c r="AI198" s="82">
        <f>AI$58/Population!AQ$73</f>
        <v>0.70290964777947929</v>
      </c>
      <c r="AJ198" s="82">
        <f>AJ$58/Population!AR$73</f>
        <v>0.70356083086053411</v>
      </c>
      <c r="AK198" s="82">
        <f>AK$58/Population!AS$73</f>
        <v>0.70383377231489608</v>
      </c>
      <c r="AL198" s="82">
        <f>AL$58/Population!AT$73</f>
        <v>0.7043132803632236</v>
      </c>
      <c r="AM198" s="82">
        <f>AM$58/Population!AU$73</f>
        <v>0.70435016111707838</v>
      </c>
      <c r="AN198" s="82">
        <f>AN$58/Population!AV$73</f>
        <v>0.70475439978986076</v>
      </c>
      <c r="AO198" s="82">
        <f>AO$58/Population!AW$73</f>
        <v>0.70494258612081873</v>
      </c>
      <c r="AP198" s="82">
        <f>AP$58/Population!AX$73</f>
        <v>0.70506024096385544</v>
      </c>
      <c r="AQ198" s="82">
        <f>AQ$58/Population!AY$73</f>
        <v>0.70527859237536661</v>
      </c>
      <c r="AR198" s="82">
        <f>AR$58/Population!AZ$73</f>
        <v>0.70534838076545636</v>
      </c>
      <c r="AS198" s="82">
        <f>AS$58/Population!BA$73</f>
        <v>0.70539314516129037</v>
      </c>
      <c r="AT198" s="82">
        <f>AT$58/Population!BB$73</f>
        <v>0.70552303385085269</v>
      </c>
      <c r="AU198" s="82">
        <f>AU$58/Population!BC$73</f>
        <v>0.70560625814863098</v>
      </c>
      <c r="AV198" s="82">
        <f>AV$58/Population!BD$73</f>
        <v>0.70551015027682573</v>
      </c>
      <c r="AW198" s="82">
        <f>AW$58/Population!BE$73</f>
        <v>0.70552982838463629</v>
      </c>
      <c r="AX198" s="82">
        <f>AX$58/Population!BF$73</f>
        <v>0.70545250140528382</v>
      </c>
      <c r="AY198" s="82">
        <f>AY$58/Population!BG$73</f>
        <v>0.70552486187845309</v>
      </c>
      <c r="AZ198" s="82">
        <f>AZ$58/Population!BH$73</f>
        <v>0.70558375634517767</v>
      </c>
      <c r="BA198" s="82">
        <f>BA$58/Population!BI$73</f>
        <v>0.70545134818288391</v>
      </c>
      <c r="BB198" s="82">
        <f>BB$58/Population!BJ$73</f>
        <v>0.70553418171056526</v>
      </c>
      <c r="BC198" s="82">
        <f>BC$58/Population!BK$73</f>
        <v>0.70565927654609106</v>
      </c>
      <c r="BD198" s="82">
        <f>BD$58/Population!BL$73</f>
        <v>0.70558969856599352</v>
      </c>
    </row>
    <row r="199" spans="3:56" x14ac:dyDescent="0.2">
      <c r="C199" s="28">
        <v>64</v>
      </c>
      <c r="E199" s="82">
        <f>E$59/Population!M$74</f>
        <v>0.56036177742823434</v>
      </c>
      <c r="F199" s="82">
        <f>F$59/Population!N$74</f>
        <v>0.5673438675696012</v>
      </c>
      <c r="G199" s="82">
        <f>G$59/Population!O$74</f>
        <v>0.57410124724871603</v>
      </c>
      <c r="H199" s="82">
        <f>H$59/Population!P$74</f>
        <v>0.58029978586723774</v>
      </c>
      <c r="I199" s="82">
        <f>I$59/Population!Q$74</f>
        <v>0.58648180242634318</v>
      </c>
      <c r="J199" s="82">
        <f>J$59/Population!R$74</f>
        <v>0.59179487179487178</v>
      </c>
      <c r="K199" s="82">
        <f>K$59/Population!S$74</f>
        <v>0.59692206941715786</v>
      </c>
      <c r="L199" s="82">
        <f>L$59/Population!T$74</f>
        <v>0.60167579761521106</v>
      </c>
      <c r="M199" s="82">
        <f>M$59/Population!U$74</f>
        <v>0.6061073411474398</v>
      </c>
      <c r="N199" s="82">
        <f>N$59/Population!V$74</f>
        <v>0.61035422343324253</v>
      </c>
      <c r="O199" s="82">
        <f>O$59/Population!W$74</f>
        <v>0.61418269230769229</v>
      </c>
      <c r="P199" s="82">
        <f>P$59/Population!X$74</f>
        <v>0.61783634692001221</v>
      </c>
      <c r="Q199" s="82">
        <f>Q$59/Population!Y$74</f>
        <v>0.62131303520456704</v>
      </c>
      <c r="R199" s="82">
        <f>R$59/Population!Z$74</f>
        <v>0.62456140350877198</v>
      </c>
      <c r="S199" s="82">
        <f>S$59/Population!AA$74</f>
        <v>0.62742642454602382</v>
      </c>
      <c r="T199" s="82">
        <f>T$59/Population!AB$74</f>
        <v>0.6300434512725015</v>
      </c>
      <c r="U199" s="82">
        <f>U$59/Population!AC$74</f>
        <v>0.63242913745809204</v>
      </c>
      <c r="V199" s="82">
        <f>V$59/Population!AD$74</f>
        <v>0.63486741846997863</v>
      </c>
      <c r="W199" s="82">
        <f>W$59/Population!AE$74</f>
        <v>0.63668326985057133</v>
      </c>
      <c r="X199" s="82">
        <f>X$59/Population!AF$74</f>
        <v>0.63873091888656086</v>
      </c>
      <c r="Y199" s="82">
        <f>Y$59/Population!AG$74</f>
        <v>0.64039408866995073</v>
      </c>
      <c r="Z199" s="82">
        <f>Z$59/Population!AH$74</f>
        <v>0.64208518753973298</v>
      </c>
      <c r="AA199" s="82">
        <f>AA$59/Population!AI$74</f>
        <v>0.64349258649093899</v>
      </c>
      <c r="AB199" s="82">
        <f>AB$59/Population!AJ$74</f>
        <v>0.64472777394900072</v>
      </c>
      <c r="AC199" s="82">
        <f>AC$59/Population!AK$74</f>
        <v>0.64554794520547942</v>
      </c>
      <c r="AD199" s="82">
        <f>AD$59/Population!AL$74</f>
        <v>0.64679376083188911</v>
      </c>
      <c r="AE199" s="82">
        <f>AE$59/Population!AM$74</f>
        <v>0.64770826363332223</v>
      </c>
      <c r="AF199" s="82">
        <f>AF$59/Population!AN$74</f>
        <v>0.64856762158560954</v>
      </c>
      <c r="AG199" s="82">
        <f>AG$59/Population!AO$74</f>
        <v>0.64932499176819225</v>
      </c>
      <c r="AH199" s="82">
        <f>AH$59/Population!AP$74</f>
        <v>0.64995209198339188</v>
      </c>
      <c r="AI199" s="82">
        <f>AI$59/Population!AQ$74</f>
        <v>0.65031249999999996</v>
      </c>
      <c r="AJ199" s="82">
        <f>AJ$59/Population!AR$74</f>
        <v>0.65073529411764708</v>
      </c>
      <c r="AK199" s="82">
        <f>AK$59/Population!AS$74</f>
        <v>0.65123181953101805</v>
      </c>
      <c r="AL199" s="82">
        <f>AL$59/Population!AT$74</f>
        <v>0.65163934426229508</v>
      </c>
      <c r="AM199" s="82">
        <f>AM$59/Population!AU$74</f>
        <v>0.65200113539596938</v>
      </c>
      <c r="AN199" s="82">
        <f>AN$59/Population!AV$74</f>
        <v>0.65216223475691648</v>
      </c>
      <c r="AO199" s="82">
        <f>AO$59/Population!AW$74</f>
        <v>0.6523909616395166</v>
      </c>
      <c r="AP199" s="82">
        <f>AP$59/Population!AX$74</f>
        <v>0.65243445692883895</v>
      </c>
      <c r="AQ199" s="82">
        <f>AQ$59/Population!AY$74</f>
        <v>0.65284474445515916</v>
      </c>
      <c r="AR199" s="82">
        <f>AR$59/Population!AZ$74</f>
        <v>0.65289660229772672</v>
      </c>
      <c r="AS199" s="82">
        <f>AS$59/Population!BA$74</f>
        <v>0.65284592737978409</v>
      </c>
      <c r="AT199" s="82">
        <f>AT$59/Population!BB$74</f>
        <v>0.65288631207461556</v>
      </c>
      <c r="AU199" s="82">
        <f>AU$59/Population!BC$74</f>
        <v>0.65283787223212009</v>
      </c>
      <c r="AV199" s="82">
        <f>AV$59/Population!BD$74</f>
        <v>0.65319426336375486</v>
      </c>
      <c r="AW199" s="82">
        <f>AW$59/Population!BE$74</f>
        <v>0.65304508304771947</v>
      </c>
      <c r="AX199" s="82">
        <f>AX$59/Population!BF$74</f>
        <v>0.6532280032688641</v>
      </c>
      <c r="AY199" s="82">
        <f>AY$59/Population!BG$74</f>
        <v>0.65299241359932569</v>
      </c>
      <c r="AZ199" s="82">
        <f>AZ$59/Population!BH$74</f>
        <v>0.65313449323391326</v>
      </c>
      <c r="BA199" s="82">
        <f>BA$59/Population!BI$74</f>
        <v>0.65304396843292001</v>
      </c>
      <c r="BB199" s="82">
        <f>BB$59/Population!BJ$74</f>
        <v>0.6530911221799004</v>
      </c>
      <c r="BC199" s="82">
        <f>BC$59/Population!BK$74</f>
        <v>0.65306122448979587</v>
      </c>
      <c r="BD199" s="82">
        <f>BD$59/Population!BL$74</f>
        <v>0.65306122448979587</v>
      </c>
    </row>
    <row r="200" spans="3:56" x14ac:dyDescent="0.2">
      <c r="C200" s="28">
        <v>65</v>
      </c>
      <c r="E200" s="82">
        <f>E$60/Population!M$75</f>
        <v>0.4933867735470942</v>
      </c>
      <c r="F200" s="82">
        <f>F$60/Population!N$75</f>
        <v>0.50019708316909739</v>
      </c>
      <c r="G200" s="82">
        <f>G$60/Population!O$75</f>
        <v>0.50716981132075467</v>
      </c>
      <c r="H200" s="82">
        <f>H$60/Population!P$75</f>
        <v>0.51343393448656605</v>
      </c>
      <c r="I200" s="82">
        <f>I$60/Population!Q$75</f>
        <v>0.5195130683852488</v>
      </c>
      <c r="J200" s="82">
        <f>J$60/Population!R$75</f>
        <v>0.52486956521739125</v>
      </c>
      <c r="K200" s="82">
        <f>K$60/Population!S$75</f>
        <v>0.53001715265866212</v>
      </c>
      <c r="L200" s="82">
        <f>L$60/Population!T$75</f>
        <v>0.53515111695137974</v>
      </c>
      <c r="M200" s="82">
        <f>M$60/Population!U$75</f>
        <v>0.5396055609440672</v>
      </c>
      <c r="N200" s="82">
        <f>N$60/Population!V$75</f>
        <v>0.54379449086969978</v>
      </c>
      <c r="O200" s="82">
        <f>O$60/Population!W$75</f>
        <v>0.54799513973268532</v>
      </c>
      <c r="P200" s="82">
        <f>P$60/Population!X$75</f>
        <v>0.55153707052441225</v>
      </c>
      <c r="Q200" s="82">
        <f>Q$60/Population!Y$75</f>
        <v>0.55500921942224957</v>
      </c>
      <c r="R200" s="82">
        <f>R$60/Population!Z$75</f>
        <v>0.55802861685214622</v>
      </c>
      <c r="S200" s="82">
        <f>S$60/Population!AA$75</f>
        <v>0.56092101055324595</v>
      </c>
      <c r="T200" s="82">
        <f>T$60/Population!AB$75</f>
        <v>0.56371625863151287</v>
      </c>
      <c r="U200" s="82">
        <f>U$60/Population!AC$75</f>
        <v>0.56609642301710728</v>
      </c>
      <c r="V200" s="82">
        <f>V$60/Population!AD$75</f>
        <v>0.56841783750763597</v>
      </c>
      <c r="W200" s="82">
        <f>W$60/Population!AE$75</f>
        <v>0.57038167938931295</v>
      </c>
      <c r="X200" s="82">
        <f>X$60/Population!AF$75</f>
        <v>0.5725190839694656</v>
      </c>
      <c r="Y200" s="82">
        <f>Y$60/Population!AG$75</f>
        <v>0.57421289355322336</v>
      </c>
      <c r="Z200" s="82">
        <f>Z$60/Population!AH$75</f>
        <v>0.57570151094665434</v>
      </c>
      <c r="AA200" s="82">
        <f>AA$60/Population!AI$75</f>
        <v>0.57720471187519895</v>
      </c>
      <c r="AB200" s="82">
        <f>AB$60/Population!AJ$75</f>
        <v>0.57835697789508411</v>
      </c>
      <c r="AC200" s="82">
        <f>AC$60/Population!AK$75</f>
        <v>0.57971014492753625</v>
      </c>
      <c r="AD200" s="82">
        <f>AD$60/Population!AL$75</f>
        <v>0.58058984910836764</v>
      </c>
      <c r="AE200" s="82">
        <f>AE$60/Population!AM$75</f>
        <v>0.58154059680777237</v>
      </c>
      <c r="AF200" s="82">
        <f>AF$60/Population!AN$75</f>
        <v>0.58238446081714668</v>
      </c>
      <c r="AG200" s="82">
        <f>AG$60/Population!AO$75</f>
        <v>0.5831943981327109</v>
      </c>
      <c r="AH200" s="82">
        <f>AH$60/Population!AP$75</f>
        <v>0.58371786420566907</v>
      </c>
      <c r="AI200" s="82">
        <f>AI$60/Population!AQ$75</f>
        <v>0.5843989769820972</v>
      </c>
      <c r="AJ200" s="82">
        <f>AJ$60/Population!AR$75</f>
        <v>0.5847404627892433</v>
      </c>
      <c r="AK200" s="82">
        <f>AK$60/Population!AS$75</f>
        <v>0.58540325053664521</v>
      </c>
      <c r="AL200" s="82">
        <f>AL$60/Population!AT$75</f>
        <v>0.5856845856845857</v>
      </c>
      <c r="AM200" s="82">
        <f>AM$60/Population!AU$75</f>
        <v>0.58582308142940831</v>
      </c>
      <c r="AN200" s="82">
        <f>AN$60/Population!AV$75</f>
        <v>0.58619710309571149</v>
      </c>
      <c r="AO200" s="82">
        <f>AO$60/Population!AW$75</f>
        <v>0.58629032258064517</v>
      </c>
      <c r="AP200" s="82">
        <f>AP$60/Population!AX$75</f>
        <v>0.58648790746582546</v>
      </c>
      <c r="AQ200" s="82">
        <f>AQ$60/Population!AY$75</f>
        <v>0.58670664667666161</v>
      </c>
      <c r="AR200" s="82">
        <f>AR$60/Population!AZ$75</f>
        <v>0.58683068017366136</v>
      </c>
      <c r="AS200" s="82">
        <f>AS$60/Population!BA$75</f>
        <v>0.58694057226705798</v>
      </c>
      <c r="AT200" s="82">
        <f>AT$60/Population!BB$75</f>
        <v>0.58703658237171619</v>
      </c>
      <c r="AU200" s="82">
        <f>AU$60/Population!BC$75</f>
        <v>0.5871374527112232</v>
      </c>
      <c r="AV200" s="82">
        <f>AV$60/Population!BD$75</f>
        <v>0.58696205755029285</v>
      </c>
      <c r="AW200" s="82">
        <f>AW$60/Population!BE$75</f>
        <v>0.58711528429838289</v>
      </c>
      <c r="AX200" s="82">
        <f>AX$60/Population!BF$75</f>
        <v>0.58713419456894278</v>
      </c>
      <c r="AY200" s="82">
        <f>AY$60/Population!BG$75</f>
        <v>0.58703350585671477</v>
      </c>
      <c r="AZ200" s="82">
        <f>AZ$60/Population!BH$75</f>
        <v>0.58696262995223381</v>
      </c>
      <c r="BA200" s="82">
        <f>BA$60/Population!BI$75</f>
        <v>0.58713062689864681</v>
      </c>
      <c r="BB200" s="82">
        <f>BB$60/Population!BJ$75</f>
        <v>0.58709131905298761</v>
      </c>
      <c r="BC200" s="82">
        <f>BC$60/Population!BK$75</f>
        <v>0.58699472759226712</v>
      </c>
      <c r="BD200" s="82">
        <f>BD$60/Population!BL$75</f>
        <v>0.5871044069801834</v>
      </c>
    </row>
    <row r="201" spans="3:56" x14ac:dyDescent="0.2">
      <c r="C201" s="28">
        <v>66</v>
      </c>
      <c r="E201" s="82">
        <f>E$61/Population!M$76</f>
        <v>0.42851239669421487</v>
      </c>
      <c r="F201" s="82">
        <f>F$61/Population!N$76</f>
        <v>0.43506232408524326</v>
      </c>
      <c r="G201" s="82">
        <f>G$61/Population!O$76</f>
        <v>0.44145569620253167</v>
      </c>
      <c r="H201" s="82">
        <f>H$61/Population!P$76</f>
        <v>0.44734848484848483</v>
      </c>
      <c r="I201" s="82">
        <f>I$61/Population!Q$76</f>
        <v>0.45269770879526977</v>
      </c>
      <c r="J201" s="82">
        <f>J$61/Population!R$76</f>
        <v>0.4577490111470694</v>
      </c>
      <c r="K201" s="82">
        <f>K$61/Population!S$76</f>
        <v>0.46280125742228434</v>
      </c>
      <c r="L201" s="82">
        <f>L$61/Population!T$76</f>
        <v>0.46744746813641058</v>
      </c>
      <c r="M201" s="82">
        <f>M$61/Population!U$76</f>
        <v>0.47163588390501321</v>
      </c>
      <c r="N201" s="82">
        <f>N$61/Population!V$76</f>
        <v>0.47549496916585526</v>
      </c>
      <c r="O201" s="82">
        <f>O$61/Population!W$76</f>
        <v>0.47903075489282387</v>
      </c>
      <c r="P201" s="82">
        <f>P$61/Population!X$76</f>
        <v>0.4824748552270649</v>
      </c>
      <c r="Q201" s="82">
        <f>Q$61/Population!Y$76</f>
        <v>0.48563652857574841</v>
      </c>
      <c r="R201" s="82">
        <f>R$61/Population!Z$76</f>
        <v>0.48874498920752391</v>
      </c>
      <c r="S201" s="82">
        <f>S$61/Population!AA$76</f>
        <v>0.49122807017543857</v>
      </c>
      <c r="T201" s="82">
        <f>T$61/Population!AB$76</f>
        <v>0.49390635022450291</v>
      </c>
      <c r="U201" s="82">
        <f>U$61/Population!AC$76</f>
        <v>0.49606547056971984</v>
      </c>
      <c r="V201" s="82">
        <f>V$61/Population!AD$76</f>
        <v>0.4982850015590895</v>
      </c>
      <c r="W201" s="82">
        <f>W$61/Population!AE$76</f>
        <v>0.50015313935681471</v>
      </c>
      <c r="X201" s="82">
        <f>X$61/Population!AF$76</f>
        <v>0.50198959289868383</v>
      </c>
      <c r="Y201" s="82">
        <f>Y$61/Population!AG$76</f>
        <v>0.5035314891112419</v>
      </c>
      <c r="Z201" s="82">
        <f>Z$61/Population!AH$76</f>
        <v>0.5049594229035167</v>
      </c>
      <c r="AA201" s="82">
        <f>AA$61/Population!AI$76</f>
        <v>0.50648949320148329</v>
      </c>
      <c r="AB201" s="82">
        <f>AB$61/Population!AJ$76</f>
        <v>0.50749601275917067</v>
      </c>
      <c r="AC201" s="82">
        <f>AC$61/Population!AK$76</f>
        <v>0.50876033057851244</v>
      </c>
      <c r="AD201" s="82">
        <f>AD$61/Population!AL$76</f>
        <v>0.50950570342205326</v>
      </c>
      <c r="AE201" s="82">
        <f>AE$61/Population!AM$76</f>
        <v>0.51030219780219777</v>
      </c>
      <c r="AF201" s="82">
        <f>AF$61/Population!AN$76</f>
        <v>0.51111883252258516</v>
      </c>
      <c r="AG201" s="82">
        <f>AG$61/Population!AO$76</f>
        <v>0.51173708920187788</v>
      </c>
      <c r="AH201" s="82">
        <f>AH$61/Population!AP$76</f>
        <v>0.51252086811352249</v>
      </c>
      <c r="AI201" s="82">
        <f>AI$61/Population!AQ$76</f>
        <v>0.51320132013201325</v>
      </c>
      <c r="AJ201" s="82">
        <f>AJ$61/Population!AR$76</f>
        <v>0.51344430217669657</v>
      </c>
      <c r="AK201" s="82">
        <f>AK$61/Population!AS$76</f>
        <v>0.51377582968065127</v>
      </c>
      <c r="AL201" s="82">
        <f>AL$61/Population!AT$76</f>
        <v>0.51427694197113905</v>
      </c>
      <c r="AM201" s="82">
        <f>AM$61/Population!AU$76</f>
        <v>0.51442164733868567</v>
      </c>
      <c r="AN201" s="82">
        <f>AN$61/Population!AV$76</f>
        <v>0.51466275659824046</v>
      </c>
      <c r="AO201" s="82">
        <f>AO$61/Population!AW$76</f>
        <v>0.51492749502416835</v>
      </c>
      <c r="AP201" s="82">
        <f>AP$61/Population!AX$76</f>
        <v>0.51506996770721203</v>
      </c>
      <c r="AQ201" s="82">
        <f>AQ$61/Population!AY$76</f>
        <v>0.51526315789473687</v>
      </c>
      <c r="AR201" s="82">
        <f>AR$61/Population!AZ$76</f>
        <v>0.51525762881440718</v>
      </c>
      <c r="AS201" s="82">
        <f>AS$61/Population!BA$76</f>
        <v>0.51521004345726706</v>
      </c>
      <c r="AT201" s="82">
        <f>AT$61/Population!BB$76</f>
        <v>0.51554467564259487</v>
      </c>
      <c r="AU201" s="82">
        <f>AU$61/Population!BC$76</f>
        <v>0.51547911547911551</v>
      </c>
      <c r="AV201" s="82">
        <f>AV$61/Population!BD$76</f>
        <v>0.51551854655563967</v>
      </c>
      <c r="AW201" s="82">
        <f>AW$61/Population!BE$76</f>
        <v>0.51541401273885346</v>
      </c>
      <c r="AX201" s="82">
        <f>AX$61/Population!BF$76</f>
        <v>0.51539665970772441</v>
      </c>
      <c r="AY201" s="82">
        <f>AY$61/Population!BG$76</f>
        <v>0.51543128462147192</v>
      </c>
      <c r="AZ201" s="82">
        <f>AZ$61/Population!BH$76</f>
        <v>0.51567184518942488</v>
      </c>
      <c r="BA201" s="82">
        <f>BA$61/Population!BI$76</f>
        <v>0.51545812254075318</v>
      </c>
      <c r="BB201" s="82">
        <f>BB$61/Population!BJ$76</f>
        <v>0.51546961325966856</v>
      </c>
      <c r="BC201" s="82">
        <f>BC$61/Population!BK$76</f>
        <v>0.51536509726529467</v>
      </c>
      <c r="BD201" s="82">
        <f>BD$61/Population!BL$76</f>
        <v>0.51567535892176974</v>
      </c>
    </row>
    <row r="202" spans="3:56" x14ac:dyDescent="0.2">
      <c r="C202" s="28">
        <v>67</v>
      </c>
      <c r="E202" s="82">
        <f>E$62/Population!M$77</f>
        <v>0.36615639222176249</v>
      </c>
      <c r="F202" s="82">
        <f>F$62/Population!N$77</f>
        <v>0.37235367372353673</v>
      </c>
      <c r="G202" s="82">
        <f>G$62/Population!O$77</f>
        <v>0.37802907915993539</v>
      </c>
      <c r="H202" s="82">
        <f>H$62/Population!P$77</f>
        <v>0.38354531001589826</v>
      </c>
      <c r="I202" s="82">
        <f>I$62/Population!Q$77</f>
        <v>0.38865626189569852</v>
      </c>
      <c r="J202" s="82">
        <f>J$62/Population!R$77</f>
        <v>0.39338781575037146</v>
      </c>
      <c r="K202" s="82">
        <f>K$62/Population!S$77</f>
        <v>0.3979038670039754</v>
      </c>
      <c r="L202" s="82">
        <f>L$62/Population!T$77</f>
        <v>0.4018954018954019</v>
      </c>
      <c r="M202" s="82">
        <f>M$62/Population!U$77</f>
        <v>0.4056767047421253</v>
      </c>
      <c r="N202" s="82">
        <f>N$62/Population!V$77</f>
        <v>0.40954274353876741</v>
      </c>
      <c r="O202" s="82">
        <f>O$62/Population!W$77</f>
        <v>0.41278121943267038</v>
      </c>
      <c r="P202" s="82">
        <f>P$62/Population!X$77</f>
        <v>0.41591263650546023</v>
      </c>
      <c r="Q202" s="82">
        <f>Q$62/Population!Y$77</f>
        <v>0.41873278236914602</v>
      </c>
      <c r="R202" s="82">
        <f>R$62/Population!Z$77</f>
        <v>0.4215001518372305</v>
      </c>
      <c r="S202" s="82">
        <f>S$62/Population!AA$77</f>
        <v>0.42401733209532655</v>
      </c>
      <c r="T202" s="82">
        <f>T$62/Population!AB$77</f>
        <v>0.42637644046094753</v>
      </c>
      <c r="U202" s="82">
        <f>U$62/Population!AC$77</f>
        <v>0.42838751206952042</v>
      </c>
      <c r="V202" s="82">
        <f>V$62/Population!AD$77</f>
        <v>0.43051168667087808</v>
      </c>
      <c r="W202" s="82">
        <f>W$62/Population!AE$77</f>
        <v>0.43210262828535667</v>
      </c>
      <c r="X202" s="82">
        <f>X$62/Population!AF$77</f>
        <v>0.43379416282642091</v>
      </c>
      <c r="Y202" s="82">
        <f>Y$62/Population!AG$77</f>
        <v>0.43536997236720909</v>
      </c>
      <c r="Z202" s="82">
        <f>Z$62/Population!AH$77</f>
        <v>0.43654073199527743</v>
      </c>
      <c r="AA202" s="82">
        <f>AA$62/Population!AI$77</f>
        <v>0.43791440626883665</v>
      </c>
      <c r="AB202" s="82">
        <f>AB$62/Population!AJ$77</f>
        <v>0.43897149938042129</v>
      </c>
      <c r="AC202" s="82">
        <f>AC$62/Population!AK$77</f>
        <v>0.44003837543971858</v>
      </c>
      <c r="AD202" s="82">
        <f>AD$62/Population!AL$77</f>
        <v>0.44102054340622932</v>
      </c>
      <c r="AE202" s="82">
        <f>AE$62/Population!AM$77</f>
        <v>0.44163491513682024</v>
      </c>
      <c r="AF202" s="82">
        <f>AF$62/Population!AN$77</f>
        <v>0.44234079173838209</v>
      </c>
      <c r="AG202" s="82">
        <f>AG$62/Population!AO$77</f>
        <v>0.44289693593314761</v>
      </c>
      <c r="AH202" s="82">
        <f>AH$62/Population!AP$77</f>
        <v>0.44354838709677419</v>
      </c>
      <c r="AI202" s="82">
        <f>AI$62/Population!AQ$77</f>
        <v>0.44381270903010034</v>
      </c>
      <c r="AJ202" s="82">
        <f>AJ$62/Population!AR$77</f>
        <v>0.44429752066115702</v>
      </c>
      <c r="AK202" s="82">
        <f>AK$62/Population!AS$77</f>
        <v>0.44469381211926901</v>
      </c>
      <c r="AL202" s="82">
        <f>AL$62/Population!AT$77</f>
        <v>0.444967074317968</v>
      </c>
      <c r="AM202" s="82">
        <f>AM$62/Population!AU$77</f>
        <v>0.44526445264452646</v>
      </c>
      <c r="AN202" s="82">
        <f>AN$62/Population!AV$77</f>
        <v>0.44550327575938059</v>
      </c>
      <c r="AO202" s="82">
        <f>AO$62/Population!AW$77</f>
        <v>0.44581497797356828</v>
      </c>
      <c r="AP202" s="82">
        <f>AP$62/Population!AX$77</f>
        <v>0.44589977220956722</v>
      </c>
      <c r="AQ202" s="82">
        <f>AQ$62/Population!AY$77</f>
        <v>0.44597143627054703</v>
      </c>
      <c r="AR202" s="82">
        <f>AR$62/Population!AZ$77</f>
        <v>0.44611330698287222</v>
      </c>
      <c r="AS202" s="82">
        <f>AS$62/Population!BA$77</f>
        <v>0.44603055346857001</v>
      </c>
      <c r="AT202" s="82">
        <f>AT$62/Population!BB$77</f>
        <v>0.44621706550640561</v>
      </c>
      <c r="AU202" s="82">
        <f>AU$62/Population!BC$77</f>
        <v>0.44621416319529528</v>
      </c>
      <c r="AV202" s="82">
        <f>AV$62/Population!BD$77</f>
        <v>0.44613871126414167</v>
      </c>
      <c r="AW202" s="82">
        <f>AW$62/Population!BE$77</f>
        <v>0.44643759474482064</v>
      </c>
      <c r="AX202" s="82">
        <f>AX$62/Population!BF$77</f>
        <v>0.4463147156337669</v>
      </c>
      <c r="AY202" s="82">
        <f>AY$62/Population!BG$77</f>
        <v>0.44644723092998956</v>
      </c>
      <c r="AZ202" s="82">
        <f>AZ$62/Population!BH$77</f>
        <v>0.44626353313968842</v>
      </c>
      <c r="BA202" s="82">
        <f>BA$62/Population!BI$77</f>
        <v>0.44614125988546494</v>
      </c>
      <c r="BB202" s="82">
        <f>BB$62/Population!BJ$77</f>
        <v>0.44641350210970465</v>
      </c>
      <c r="BC202" s="82">
        <f>BC$62/Population!BK$77</f>
        <v>0.44610281923714762</v>
      </c>
      <c r="BD202" s="82">
        <f>BD$62/Population!BL$77</f>
        <v>0.446262341325811</v>
      </c>
    </row>
    <row r="203" spans="3:56" x14ac:dyDescent="0.2">
      <c r="C203" s="28">
        <v>68</v>
      </c>
      <c r="E203" s="82">
        <f>E$63/Population!M$78</f>
        <v>0.3095948827292111</v>
      </c>
      <c r="F203" s="82">
        <f>F$63/Population!N$78</f>
        <v>0.31530782029950083</v>
      </c>
      <c r="G203" s="82">
        <f>G$63/Population!O$78</f>
        <v>0.32095158597662771</v>
      </c>
      <c r="H203" s="82">
        <f>H$63/Population!P$78</f>
        <v>0.32629012596505486</v>
      </c>
      <c r="I203" s="82">
        <f>I$63/Population!Q$78</f>
        <v>0.33106757297081169</v>
      </c>
      <c r="J203" s="82">
        <f>J$63/Population!R$78</f>
        <v>0.33588663347376485</v>
      </c>
      <c r="K203" s="82">
        <f>K$63/Population!S$78</f>
        <v>0.34005979073243647</v>
      </c>
      <c r="L203" s="82">
        <f>L$63/Population!T$78</f>
        <v>0.34423845874227554</v>
      </c>
      <c r="M203" s="82">
        <f>M$63/Population!U$78</f>
        <v>0.34804094599364632</v>
      </c>
      <c r="N203" s="82">
        <f>N$63/Population!V$78</f>
        <v>0.35142658315935976</v>
      </c>
      <c r="O203" s="82">
        <f>O$63/Population!W$78</f>
        <v>0.35476349100599602</v>
      </c>
      <c r="P203" s="82">
        <f>P$63/Population!X$78</f>
        <v>0.3577981651376147</v>
      </c>
      <c r="Q203" s="82">
        <f>Q$63/Population!Y$78</f>
        <v>0.36081504702194356</v>
      </c>
      <c r="R203" s="82">
        <f>R$63/Population!Z$78</f>
        <v>0.36316113161131613</v>
      </c>
      <c r="S203" s="82">
        <f>S$63/Population!AA$78</f>
        <v>0.36577181208053694</v>
      </c>
      <c r="T203" s="82">
        <f>T$63/Population!AB$78</f>
        <v>0.36815920398009949</v>
      </c>
      <c r="U203" s="82">
        <f>U$63/Population!AC$78</f>
        <v>0.37009646302250804</v>
      </c>
      <c r="V203" s="82">
        <f>V$63/Population!AD$78</f>
        <v>0.37189014539579968</v>
      </c>
      <c r="W203" s="82">
        <f>W$63/Population!AE$78</f>
        <v>0.37381103360811668</v>
      </c>
      <c r="X203" s="82">
        <f>X$63/Population!AF$78</f>
        <v>0.37531407035175879</v>
      </c>
      <c r="Y203" s="82">
        <f>Y$63/Population!AG$78</f>
        <v>0.37681159420289856</v>
      </c>
      <c r="Z203" s="82">
        <f>Z$63/Population!AH$78</f>
        <v>0.37812018489984589</v>
      </c>
      <c r="AA203" s="82">
        <f>AA$63/Population!AI$78</f>
        <v>0.37903464613562332</v>
      </c>
      <c r="AB203" s="82">
        <f>AB$63/Population!AJ$78</f>
        <v>0.38040520108859993</v>
      </c>
      <c r="AC203" s="82">
        <f>AC$63/Population!AK$78</f>
        <v>0.38141125271992538</v>
      </c>
      <c r="AD203" s="82">
        <f>AD$63/Population!AL$78</f>
        <v>0.38197562540089802</v>
      </c>
      <c r="AE203" s="82">
        <f>AE$63/Population!AM$78</f>
        <v>0.38272425249169434</v>
      </c>
      <c r="AF203" s="82">
        <f>AF$63/Population!AN$78</f>
        <v>0.38346648141715872</v>
      </c>
      <c r="AG203" s="82">
        <f>AG$63/Population!AO$78</f>
        <v>0.38405797101449274</v>
      </c>
      <c r="AH203" s="82">
        <f>AH$63/Population!AP$78</f>
        <v>0.38464223385689356</v>
      </c>
      <c r="AI203" s="82">
        <f>AI$63/Population!AQ$78</f>
        <v>0.38497810710676994</v>
      </c>
      <c r="AJ203" s="82">
        <f>AJ$63/Population!AR$78</f>
        <v>0.38551793496480052</v>
      </c>
      <c r="AK203" s="82">
        <f>AK$63/Population!AS$78</f>
        <v>0.38601722995361165</v>
      </c>
      <c r="AL203" s="82">
        <f>AL$63/Population!AT$78</f>
        <v>0.38624678663239076</v>
      </c>
      <c r="AM203" s="82">
        <f>AM$63/Population!AU$78</f>
        <v>0.38654934003771213</v>
      </c>
      <c r="AN203" s="82">
        <f>AN$63/Population!AV$78</f>
        <v>0.3866296980899569</v>
      </c>
      <c r="AO203" s="82">
        <f>AO$63/Population!AW$78</f>
        <v>0.38675022381378693</v>
      </c>
      <c r="AP203" s="82">
        <f>AP$63/Population!AX$78</f>
        <v>0.38687849367461019</v>
      </c>
      <c r="AQ203" s="82">
        <f>AQ$63/Population!AY$78</f>
        <v>0.38705077010838562</v>
      </c>
      <c r="AR203" s="82">
        <f>AR$63/Population!AZ$78</f>
        <v>0.38704453441295544</v>
      </c>
      <c r="AS203" s="82">
        <f>AS$63/Population!BA$78</f>
        <v>0.38727560718057025</v>
      </c>
      <c r="AT203" s="82">
        <f>AT$63/Population!BB$78</f>
        <v>0.38735574510787757</v>
      </c>
      <c r="AU203" s="82">
        <f>AU$63/Population!BC$78</f>
        <v>0.38740920096852299</v>
      </c>
      <c r="AV203" s="82">
        <f>AV$63/Population!BD$78</f>
        <v>0.38733431516936673</v>
      </c>
      <c r="AW203" s="82">
        <f>AW$63/Population!BE$78</f>
        <v>0.38743842364532022</v>
      </c>
      <c r="AX203" s="82">
        <f>AX$63/Population!BF$78</f>
        <v>0.38730078421452063</v>
      </c>
      <c r="AY203" s="82">
        <f>AY$63/Population!BG$78</f>
        <v>0.38738508682328909</v>
      </c>
      <c r="AZ203" s="82">
        <f>AZ$63/Population!BH$78</f>
        <v>0.38729079497907948</v>
      </c>
      <c r="BA203" s="82">
        <f>BA$63/Population!BI$78</f>
        <v>0.38752312979117104</v>
      </c>
      <c r="BB203" s="82">
        <f>BB$63/Population!BJ$78</f>
        <v>0.38749317312943748</v>
      </c>
      <c r="BC203" s="82">
        <f>BC$63/Population!BK$78</f>
        <v>0.38749647986482683</v>
      </c>
      <c r="BD203" s="82">
        <f>BD$63/Population!BL$78</f>
        <v>0.38738240177089101</v>
      </c>
    </row>
    <row r="204" spans="3:56" x14ac:dyDescent="0.2">
      <c r="C204" s="28">
        <v>69</v>
      </c>
      <c r="E204" s="82">
        <f>E$64/Population!M$79</f>
        <v>0.26338147833474934</v>
      </c>
      <c r="F204" s="82">
        <f>F$64/Population!N$79</f>
        <v>0.26866952789699572</v>
      </c>
      <c r="G204" s="82">
        <f>G$64/Population!O$79</f>
        <v>0.2735651445328865</v>
      </c>
      <c r="H204" s="82">
        <f>H$64/Population!P$79</f>
        <v>0.27826817990752417</v>
      </c>
      <c r="I204" s="82">
        <f>I$64/Population!Q$79</f>
        <v>0.2827332242225859</v>
      </c>
      <c r="J204" s="82">
        <f>J$64/Population!R$79</f>
        <v>0.28663446054750402</v>
      </c>
      <c r="K204" s="82">
        <f>K$64/Population!S$79</f>
        <v>0.29039722329348244</v>
      </c>
      <c r="L204" s="82">
        <f>L$64/Population!T$79</f>
        <v>0.29420617005267119</v>
      </c>
      <c r="M204" s="82">
        <f>M$64/Population!U$79</f>
        <v>0.29747530186608123</v>
      </c>
      <c r="N204" s="82">
        <f>N$64/Population!V$79</f>
        <v>0.3005328596802842</v>
      </c>
      <c r="O204" s="82">
        <f>O$64/Population!W$79</f>
        <v>0.30346517325866296</v>
      </c>
      <c r="P204" s="82">
        <f>P$64/Population!X$79</f>
        <v>0.30619765494137352</v>
      </c>
      <c r="Q204" s="82">
        <f>Q$64/Population!Y$79</f>
        <v>0.3087314662273476</v>
      </c>
      <c r="R204" s="82">
        <f>R$64/Population!Z$79</f>
        <v>0.31116015132408575</v>
      </c>
      <c r="S204" s="82">
        <f>S$64/Population!AA$79</f>
        <v>0.31313755795981452</v>
      </c>
      <c r="T204" s="82">
        <f>T$64/Population!AB$79</f>
        <v>0.31514408338442673</v>
      </c>
      <c r="U204" s="82">
        <f>U$64/Population!AC$79</f>
        <v>0.317088409871915</v>
      </c>
      <c r="V204" s="82">
        <f>V$64/Population!AD$79</f>
        <v>0.3184754521963824</v>
      </c>
      <c r="W204" s="82">
        <f>W$64/Population!AE$79</f>
        <v>0.32002596559558583</v>
      </c>
      <c r="X204" s="82">
        <f>X$64/Population!AF$79</f>
        <v>0.321656050955414</v>
      </c>
      <c r="Y204" s="82">
        <f>Y$64/Population!AG$79</f>
        <v>0.32292652160201829</v>
      </c>
      <c r="Z204" s="82">
        <f>Z$64/Population!AH$79</f>
        <v>0.32414860681114549</v>
      </c>
      <c r="AA204" s="82">
        <f>AA$64/Population!AI$79</f>
        <v>0.32518564356435642</v>
      </c>
      <c r="AB204" s="82">
        <f>AB$64/Population!AJ$79</f>
        <v>0.32609988109393578</v>
      </c>
      <c r="AC204" s="82">
        <f>AC$64/Population!AK$79</f>
        <v>0.32685887708649469</v>
      </c>
      <c r="AD204" s="82">
        <f>AD$64/Population!AL$79</f>
        <v>0.32751091703056767</v>
      </c>
      <c r="AE204" s="82">
        <f>AE$64/Population!AM$79</f>
        <v>0.3281853281853282</v>
      </c>
      <c r="AF204" s="82">
        <f>AF$64/Population!AN$79</f>
        <v>0.32900000000000001</v>
      </c>
      <c r="AG204" s="82">
        <f>AG$64/Population!AO$79</f>
        <v>0.32961672473867598</v>
      </c>
      <c r="AH204" s="82">
        <f>AH$64/Population!AP$79</f>
        <v>0.3298719280027691</v>
      </c>
      <c r="AI204" s="82">
        <f>AI$64/Population!AQ$79</f>
        <v>0.33041652082604128</v>
      </c>
      <c r="AJ204" s="82">
        <f>AJ$64/Population!AR$79</f>
        <v>0.33063154339750084</v>
      </c>
      <c r="AK204" s="82">
        <f>AK$64/Population!AS$79</f>
        <v>0.33109243697478991</v>
      </c>
      <c r="AL204" s="82">
        <f>AL$64/Population!AT$79</f>
        <v>0.33111922949186318</v>
      </c>
      <c r="AM204" s="82">
        <f>AM$64/Population!AU$79</f>
        <v>0.3314009661835749</v>
      </c>
      <c r="AN204" s="82">
        <f>AN$64/Population!AV$79</f>
        <v>0.33175803402646503</v>
      </c>
      <c r="AO204" s="82">
        <f>AO$64/Population!AW$79</f>
        <v>0.33168622606547249</v>
      </c>
      <c r="AP204" s="82">
        <f>AP$64/Population!AX$79</f>
        <v>0.3319377990430622</v>
      </c>
      <c r="AQ204" s="82">
        <f>AQ$64/Population!AY$79</f>
        <v>0.33205544087289884</v>
      </c>
      <c r="AR204" s="82">
        <f>AR$64/Population!AZ$79</f>
        <v>0.33209488425264361</v>
      </c>
      <c r="AS204" s="82">
        <f>AS$64/Population!BA$79</f>
        <v>0.33216121179334596</v>
      </c>
      <c r="AT204" s="82">
        <f>AT$64/Population!BB$79</f>
        <v>0.33218725204972227</v>
      </c>
      <c r="AU204" s="82">
        <f>AU$64/Population!BC$79</f>
        <v>0.33224428248303595</v>
      </c>
      <c r="AV204" s="82">
        <f>AV$64/Population!BD$79</f>
        <v>0.3323629306162057</v>
      </c>
      <c r="AW204" s="82">
        <f>AW$64/Population!BE$79</f>
        <v>0.33218588640275387</v>
      </c>
      <c r="AX204" s="82">
        <f>AX$64/Population!BF$79</f>
        <v>0.3323464100666173</v>
      </c>
      <c r="AY204" s="82">
        <f>AY$64/Population!BG$79</f>
        <v>0.3324885960466295</v>
      </c>
      <c r="AZ204" s="82">
        <f>AZ$64/Population!BH$79</f>
        <v>0.33231005372217959</v>
      </c>
      <c r="BA204" s="82">
        <f>BA$64/Population!BI$79</f>
        <v>0.3323729701414353</v>
      </c>
      <c r="BB204" s="82">
        <f>BB$64/Population!BJ$79</f>
        <v>0.33218634197988356</v>
      </c>
      <c r="BC204" s="82">
        <f>BC$64/Population!BK$79</f>
        <v>0.33242208857299071</v>
      </c>
      <c r="BD204" s="82">
        <f>BD$64/Population!BL$79</f>
        <v>0.3323935720327037</v>
      </c>
    </row>
    <row r="205" spans="3:56" x14ac:dyDescent="0.2">
      <c r="C205" s="28">
        <v>70</v>
      </c>
      <c r="E205" s="82">
        <f>E$65/Population!M$80</f>
        <v>0.22193658954584405</v>
      </c>
      <c r="F205" s="82">
        <f>F$65/Population!N$80</f>
        <v>0.22602739726027396</v>
      </c>
      <c r="G205" s="82">
        <f>G$65/Population!O$80</f>
        <v>0.2296712802768166</v>
      </c>
      <c r="H205" s="82">
        <f>H$65/Population!P$80</f>
        <v>0.23343182777543267</v>
      </c>
      <c r="I205" s="82">
        <f>I$65/Population!Q$80</f>
        <v>0.23676408301567134</v>
      </c>
      <c r="J205" s="82">
        <f>J$65/Population!R$80</f>
        <v>0.24</v>
      </c>
      <c r="K205" s="82">
        <f>K$65/Population!S$80</f>
        <v>0.24300202839756593</v>
      </c>
      <c r="L205" s="82">
        <f>L$65/Population!T$80</f>
        <v>0.24592074592074592</v>
      </c>
      <c r="M205" s="82">
        <f>M$65/Population!U$80</f>
        <v>0.24857900719969686</v>
      </c>
      <c r="N205" s="82">
        <f>N$65/Population!V$80</f>
        <v>0.25092114959469419</v>
      </c>
      <c r="O205" s="82">
        <f>O$65/Population!W$80</f>
        <v>0.25321888412017168</v>
      </c>
      <c r="P205" s="82">
        <f>P$65/Population!X$80</f>
        <v>0.25546159267089502</v>
      </c>
      <c r="Q205" s="82">
        <f>Q$65/Population!Y$80</f>
        <v>0.25724881995954146</v>
      </c>
      <c r="R205" s="82">
        <f>R$65/Population!Z$80</f>
        <v>0.25928381962864722</v>
      </c>
      <c r="S205" s="82">
        <f>S$65/Population!AA$80</f>
        <v>0.26102124960355216</v>
      </c>
      <c r="T205" s="82">
        <f>T$65/Population!AB$80</f>
        <v>0.26243781094527363</v>
      </c>
      <c r="U205" s="82">
        <f>U$65/Population!AC$80</f>
        <v>0.26395312981806968</v>
      </c>
      <c r="V205" s="82">
        <f>V$65/Population!AD$80</f>
        <v>0.26515865535658184</v>
      </c>
      <c r="W205" s="82">
        <f>W$65/Population!AE$80</f>
        <v>0.26623376623376621</v>
      </c>
      <c r="X205" s="82">
        <f>X$65/Population!AF$80</f>
        <v>0.26753670473083196</v>
      </c>
      <c r="Y205" s="82">
        <f>Y$65/Population!AG$80</f>
        <v>0.26848</v>
      </c>
      <c r="Z205" s="82">
        <f>Z$65/Population!AH$80</f>
        <v>0.26932826362484158</v>
      </c>
      <c r="AA205" s="82">
        <f>AA$65/Population!AI$80</f>
        <v>0.27029548989113528</v>
      </c>
      <c r="AB205" s="82">
        <f>AB$65/Population!AJ$80</f>
        <v>0.27097576134244872</v>
      </c>
      <c r="AC205" s="82">
        <f>AC$65/Population!AK$80</f>
        <v>0.27172290235891311</v>
      </c>
      <c r="AD205" s="82">
        <f>AD$65/Population!AL$80</f>
        <v>0.27217311795184396</v>
      </c>
      <c r="AE205" s="82">
        <f>AE$65/Population!AM$80</f>
        <v>0.27278421547134357</v>
      </c>
      <c r="AF205" s="82">
        <f>AF$65/Population!AN$80</f>
        <v>0.27325581395348836</v>
      </c>
      <c r="AG205" s="82">
        <f>AG$65/Population!AO$80</f>
        <v>0.27367012378721983</v>
      </c>
      <c r="AH205" s="82">
        <f>AH$65/Population!AP$80</f>
        <v>0.27412587412587414</v>
      </c>
      <c r="AI205" s="82">
        <f>AI$65/Population!AQ$80</f>
        <v>0.27430555555555558</v>
      </c>
      <c r="AJ205" s="82">
        <f>AJ$65/Population!AR$80</f>
        <v>0.27467509659290479</v>
      </c>
      <c r="AK205" s="82">
        <f>AK$65/Population!AS$80</f>
        <v>0.27482209420535414</v>
      </c>
      <c r="AL205" s="82">
        <f>AL$65/Population!AT$80</f>
        <v>0.27511800404585302</v>
      </c>
      <c r="AM205" s="82">
        <f>AM$65/Population!AU$80</f>
        <v>0.27514990006662227</v>
      </c>
      <c r="AN205" s="82">
        <f>AN$65/Population!AV$80</f>
        <v>0.2755167958656331</v>
      </c>
      <c r="AO205" s="82">
        <f>AO$65/Population!AW$80</f>
        <v>0.27542640555906506</v>
      </c>
      <c r="AP205" s="82">
        <f>AP$65/Population!AX$80</f>
        <v>0.27554179566563469</v>
      </c>
      <c r="AQ205" s="82">
        <f>AQ$65/Population!AY$80</f>
        <v>0.27556221889055471</v>
      </c>
      <c r="AR205" s="82">
        <f>AR$65/Population!AZ$80</f>
        <v>0.27579071829736918</v>
      </c>
      <c r="AS205" s="82">
        <f>AS$65/Population!BA$80</f>
        <v>0.27593123209169057</v>
      </c>
      <c r="AT205" s="82">
        <f>AT$65/Population!BB$80</f>
        <v>0.27575921908893708</v>
      </c>
      <c r="AU205" s="82">
        <f>AU$65/Population!BC$80</f>
        <v>0.27598091198303287</v>
      </c>
      <c r="AV205" s="82">
        <f>AV$65/Population!BD$80</f>
        <v>0.27581863979848864</v>
      </c>
      <c r="AW205" s="82">
        <f>AW$65/Population!BE$80</f>
        <v>0.27595429127157795</v>
      </c>
      <c r="AX205" s="82">
        <f>AX$65/Population!BF$80</f>
        <v>0.27599802858551009</v>
      </c>
      <c r="AY205" s="82">
        <f>AY$65/Population!BG$80</f>
        <v>0.27596439169139464</v>
      </c>
      <c r="AZ205" s="82">
        <f>AZ$65/Population!BH$80</f>
        <v>0.27595836506727595</v>
      </c>
      <c r="BA205" s="82">
        <f>BA$65/Population!BI$80</f>
        <v>0.2760123013839057</v>
      </c>
      <c r="BB205" s="82">
        <f>BB$65/Population!BJ$80</f>
        <v>0.27604303332458674</v>
      </c>
      <c r="BC205" s="82">
        <f>BC$65/Population!BK$80</f>
        <v>0.2760540970564837</v>
      </c>
      <c r="BD205" s="82">
        <f>BD$65/Population!BL$80</f>
        <v>0.27601314348302303</v>
      </c>
    </row>
    <row r="206" spans="3:56" x14ac:dyDescent="0.2">
      <c r="C206" s="28">
        <v>71</v>
      </c>
      <c r="E206" s="82">
        <f>E$66/Population!M$81</f>
        <v>0.18580908626850434</v>
      </c>
      <c r="F206" s="82">
        <f>F$66/Population!N$81</f>
        <v>0.18901384083044984</v>
      </c>
      <c r="G206" s="82">
        <f>G$66/Population!O$81</f>
        <v>0.19179265658747299</v>
      </c>
      <c r="H206" s="82">
        <f>H$66/Population!P$81</f>
        <v>0.19467481449148843</v>
      </c>
      <c r="I206" s="82">
        <f>I$66/Population!Q$81</f>
        <v>0.19727311461440136</v>
      </c>
      <c r="J206" s="82">
        <f>J$66/Population!R$81</f>
        <v>0.20008550662676358</v>
      </c>
      <c r="K206" s="82">
        <f>K$66/Population!S$81</f>
        <v>0.20216306156405989</v>
      </c>
      <c r="L206" s="82">
        <f>L$66/Population!T$81</f>
        <v>0.20458265139116202</v>
      </c>
      <c r="M206" s="82">
        <f>M$66/Population!U$81</f>
        <v>0.20642381511946728</v>
      </c>
      <c r="N206" s="82">
        <f>N$66/Population!V$81</f>
        <v>0.20855614973262032</v>
      </c>
      <c r="O206" s="82">
        <f>O$66/Population!W$81</f>
        <v>0.21054585963609357</v>
      </c>
      <c r="P206" s="82">
        <f>P$66/Population!X$81</f>
        <v>0.21189189189189189</v>
      </c>
      <c r="Q206" s="82">
        <f>Q$66/Population!Y$81</f>
        <v>0.21370252041178558</v>
      </c>
      <c r="R206" s="82">
        <f>R$66/Population!Z$81</f>
        <v>0.21494057724957555</v>
      </c>
      <c r="S206" s="82">
        <f>S$66/Population!AA$81</f>
        <v>0.21636060100166946</v>
      </c>
      <c r="T206" s="82">
        <f>T$66/Population!AB$81</f>
        <v>0.21768273220555379</v>
      </c>
      <c r="U206" s="82">
        <f>U$66/Population!AC$81</f>
        <v>0.2187793427230047</v>
      </c>
      <c r="V206" s="82">
        <f>V$66/Population!AD$81</f>
        <v>0.2196711138690661</v>
      </c>
      <c r="W206" s="82">
        <f>W$66/Population!AE$81</f>
        <v>0.22060682680151708</v>
      </c>
      <c r="X206" s="82">
        <f>X$66/Population!AF$81</f>
        <v>0.22142390594382758</v>
      </c>
      <c r="Y206" s="82">
        <f>Y$66/Population!AG$81</f>
        <v>0.22244094488188976</v>
      </c>
      <c r="Z206" s="82">
        <f>Z$66/Population!AH$81</f>
        <v>0.22297297297297297</v>
      </c>
      <c r="AA206" s="82">
        <f>AA$66/Population!AI$81</f>
        <v>0.22363810130614845</v>
      </c>
      <c r="AB206" s="82">
        <f>AB$66/Population!AJ$81</f>
        <v>0.22444513910597061</v>
      </c>
      <c r="AC206" s="82">
        <f>AC$66/Population!AK$81</f>
        <v>0.22485946283572766</v>
      </c>
      <c r="AD206" s="82">
        <f>AD$66/Population!AL$81</f>
        <v>0.22532253225322532</v>
      </c>
      <c r="AE206" s="82">
        <f>AE$66/Population!AM$81</f>
        <v>0.22565829761175751</v>
      </c>
      <c r="AF206" s="82">
        <f>AF$66/Population!AN$81</f>
        <v>0.22617175212330923</v>
      </c>
      <c r="AG206" s="82">
        <f>AG$66/Population!AO$81</f>
        <v>0.22647631408176508</v>
      </c>
      <c r="AH206" s="82">
        <f>AH$66/Population!AP$81</f>
        <v>0.22681451612903225</v>
      </c>
      <c r="AI206" s="82">
        <f>AI$66/Population!AQ$81</f>
        <v>0.2270972270972271</v>
      </c>
      <c r="AJ206" s="82">
        <f>AJ$66/Population!AR$81</f>
        <v>0.22733612273361228</v>
      </c>
      <c r="AK206" s="82">
        <f>AK$66/Population!AS$81</f>
        <v>0.22735283750440607</v>
      </c>
      <c r="AL206" s="82">
        <f>AL$66/Population!AT$81</f>
        <v>0.22755102040816327</v>
      </c>
      <c r="AM206" s="82">
        <f>AM$66/Population!AU$81</f>
        <v>0.22767253044654939</v>
      </c>
      <c r="AN206" s="82">
        <f>AN$66/Population!AV$81</f>
        <v>0.22794117647058823</v>
      </c>
      <c r="AO206" s="82">
        <f>AO$66/Population!AW$81</f>
        <v>0.22787682333873582</v>
      </c>
      <c r="AP206" s="82">
        <f>AP$66/Population!AX$81</f>
        <v>0.22782002534854245</v>
      </c>
      <c r="AQ206" s="82">
        <f>AQ$66/Population!AY$81</f>
        <v>0.22795031055900622</v>
      </c>
      <c r="AR206" s="82">
        <f>AR$66/Population!AZ$81</f>
        <v>0.22796992481203007</v>
      </c>
      <c r="AS206" s="82">
        <f>AS$66/Population!BA$81</f>
        <v>0.22828342721612807</v>
      </c>
      <c r="AT206" s="82">
        <f>AT$66/Population!BB$81</f>
        <v>0.22816091954022988</v>
      </c>
      <c r="AU206" s="82">
        <f>AU$66/Population!BC$81</f>
        <v>0.2281131049483415</v>
      </c>
      <c r="AV206" s="82">
        <f>AV$66/Population!BD$81</f>
        <v>0.22833599149388623</v>
      </c>
      <c r="AW206" s="82">
        <f>AW$66/Population!BE$81</f>
        <v>0.22834049002273302</v>
      </c>
      <c r="AX206" s="82">
        <f>AX$66/Population!BF$81</f>
        <v>0.22812576163782597</v>
      </c>
      <c r="AY206" s="82">
        <f>AY$66/Population!BG$81</f>
        <v>0.2282044949370215</v>
      </c>
      <c r="AZ206" s="82">
        <f>AZ$66/Population!BH$81</f>
        <v>0.22825278810408922</v>
      </c>
      <c r="BA206" s="82">
        <f>BA$66/Population!BI$81</f>
        <v>0.22824427480916032</v>
      </c>
      <c r="BB206" s="82">
        <f>BB$66/Population!BJ$81</f>
        <v>0.22829994863893169</v>
      </c>
      <c r="BC206" s="82">
        <f>BC$66/Population!BK$81</f>
        <v>0.22824086247699185</v>
      </c>
      <c r="BD206" s="82">
        <f>BD$66/Population!BL$81</f>
        <v>0.22821466524973433</v>
      </c>
    </row>
    <row r="207" spans="3:56" x14ac:dyDescent="0.2">
      <c r="C207" s="28">
        <v>72</v>
      </c>
      <c r="E207" s="82">
        <f>E$67/Population!M$82</f>
        <v>0.15655471289274106</v>
      </c>
      <c r="F207" s="82">
        <f>F$67/Population!N$82</f>
        <v>0.1593604951005673</v>
      </c>
      <c r="G207" s="82">
        <f>G$67/Population!O$82</f>
        <v>0.16215034965034966</v>
      </c>
      <c r="H207" s="82">
        <f>H$67/Population!P$82</f>
        <v>0.1646288209606987</v>
      </c>
      <c r="I207" s="82">
        <f>I$67/Population!Q$82</f>
        <v>0.16718129686810762</v>
      </c>
      <c r="J207" s="82">
        <f>J$67/Population!R$82</f>
        <v>0.16960826517434352</v>
      </c>
      <c r="K207" s="82">
        <f>K$67/Population!S$82</f>
        <v>0.17141623488773747</v>
      </c>
      <c r="L207" s="82">
        <f>L$67/Population!T$82</f>
        <v>0.17345653086938262</v>
      </c>
      <c r="M207" s="82">
        <f>M$67/Population!U$82</f>
        <v>0.1755472945064023</v>
      </c>
      <c r="N207" s="82">
        <f>N$67/Population!V$82</f>
        <v>0.17707509881422925</v>
      </c>
      <c r="O207" s="82">
        <f>O$67/Population!W$82</f>
        <v>0.1788053949903661</v>
      </c>
      <c r="P207" s="82">
        <f>P$67/Population!X$82</f>
        <v>0.1805243445692884</v>
      </c>
      <c r="Q207" s="82">
        <f>Q$67/Population!Y$82</f>
        <v>0.1816860465116279</v>
      </c>
      <c r="R207" s="82">
        <f>R$67/Population!Z$82</f>
        <v>0.18318425760286225</v>
      </c>
      <c r="S207" s="82">
        <f>S$67/Population!AA$82</f>
        <v>0.18446269678302532</v>
      </c>
      <c r="T207" s="82">
        <f>T$67/Population!AB$82</f>
        <v>0.18533467877564749</v>
      </c>
      <c r="U207" s="82">
        <f>U$67/Population!AC$82</f>
        <v>0.18649517684887459</v>
      </c>
      <c r="V207" s="82">
        <f>V$67/Population!AD$82</f>
        <v>0.18726355611601514</v>
      </c>
      <c r="W207" s="82">
        <f>W$67/Population!AE$82</f>
        <v>0.18837863167760074</v>
      </c>
      <c r="X207" s="82">
        <f>X$67/Population!AF$82</f>
        <v>0.18899140948138721</v>
      </c>
      <c r="Y207" s="82">
        <f>Y$67/Population!AG$82</f>
        <v>0.18967784352399736</v>
      </c>
      <c r="Z207" s="82">
        <f>Z$67/Population!AH$82</f>
        <v>0.19049191152195444</v>
      </c>
      <c r="AA207" s="82">
        <f>AA$67/Population!AI$82</f>
        <v>0.19100032372936226</v>
      </c>
      <c r="AB207" s="82">
        <f>AB$67/Population!AJ$82</f>
        <v>0.19160525472604933</v>
      </c>
      <c r="AC207" s="82">
        <f>AC$67/Population!AK$82</f>
        <v>0.19207796290474694</v>
      </c>
      <c r="AD207" s="82">
        <f>AD$67/Population!AL$82</f>
        <v>0.1924646781789639</v>
      </c>
      <c r="AE207" s="82">
        <f>AE$67/Population!AM$82</f>
        <v>0.19276018099547512</v>
      </c>
      <c r="AF207" s="82">
        <f>AF$67/Population!AN$82</f>
        <v>0.19329024315173898</v>
      </c>
      <c r="AG207" s="82">
        <f>AG$67/Population!AO$82</f>
        <v>0.19348719570028455</v>
      </c>
      <c r="AH207" s="82">
        <f>AH$67/Population!AP$82</f>
        <v>0.19367460058689273</v>
      </c>
      <c r="AI207" s="82">
        <f>AI$67/Population!AQ$82</f>
        <v>0.19406007424907187</v>
      </c>
      <c r="AJ207" s="82">
        <f>AJ$67/Population!AR$82</f>
        <v>0.19428772919605078</v>
      </c>
      <c r="AK207" s="82">
        <f>AK$67/Population!AS$82</f>
        <v>0.19432773109243698</v>
      </c>
      <c r="AL207" s="82">
        <f>AL$67/Population!AT$82</f>
        <v>0.1943362831858407</v>
      </c>
      <c r="AM207" s="82">
        <f>AM$67/Population!AU$82</f>
        <v>0.19467213114754098</v>
      </c>
      <c r="AN207" s="82">
        <f>AN$67/Population!AV$82</f>
        <v>0.19463315217391305</v>
      </c>
      <c r="AO207" s="82">
        <f>AO$67/Population!AW$82</f>
        <v>0.19463087248322147</v>
      </c>
      <c r="AP207" s="82">
        <f>AP$67/Population!AX$82</f>
        <v>0.1948601171112557</v>
      </c>
      <c r="AQ207" s="82">
        <f>AQ$67/Population!AY$82</f>
        <v>0.19497455470737912</v>
      </c>
      <c r="AR207" s="82">
        <f>AR$67/Population!AZ$82</f>
        <v>0.19482543640897756</v>
      </c>
      <c r="AS207" s="82">
        <f>AS$67/Population!BA$82</f>
        <v>0.19493059746529873</v>
      </c>
      <c r="AT207" s="82">
        <f>AT$67/Population!BB$82</f>
        <v>0.1951219512195122</v>
      </c>
      <c r="AU207" s="82">
        <f>AU$67/Population!BC$82</f>
        <v>0.195157105794177</v>
      </c>
      <c r="AV207" s="82">
        <f>AV$67/Population!BD$82</f>
        <v>0.19498227433869647</v>
      </c>
      <c r="AW207" s="82">
        <f>AW$67/Population!BE$82</f>
        <v>0.19514796054385497</v>
      </c>
      <c r="AX207" s="82">
        <f>AX$67/Population!BF$82</f>
        <v>0.19503546099290781</v>
      </c>
      <c r="AY207" s="82">
        <f>AY$67/Population!BG$82</f>
        <v>0.19506233194817893</v>
      </c>
      <c r="AZ207" s="82">
        <f>AZ$67/Population!BH$82</f>
        <v>0.19519445132524152</v>
      </c>
      <c r="BA207" s="82">
        <f>BA$67/Population!BI$82</f>
        <v>0.19507952286282307</v>
      </c>
      <c r="BB207" s="82">
        <f>BB$67/Population!BJ$82</f>
        <v>0.1951530612244898</v>
      </c>
      <c r="BC207" s="82">
        <f>BC$67/Population!BK$82</f>
        <v>0.19515962924819774</v>
      </c>
      <c r="BD207" s="82">
        <f>BD$67/Population!BL$82</f>
        <v>0.19504480759093304</v>
      </c>
    </row>
    <row r="208" spans="3:56" x14ac:dyDescent="0.2">
      <c r="C208" s="28">
        <v>73</v>
      </c>
      <c r="E208" s="82">
        <f>E$68/Population!M$83</f>
        <v>0.13352769679300291</v>
      </c>
      <c r="F208" s="82">
        <f>F$68/Population!N$83</f>
        <v>0.13603949533735601</v>
      </c>
      <c r="G208" s="82">
        <f>G$68/Population!O$83</f>
        <v>0.13883089770354906</v>
      </c>
      <c r="H208" s="82">
        <f>H$68/Population!P$83</f>
        <v>0.14108801415302963</v>
      </c>
      <c r="I208" s="82">
        <f>I$68/Population!Q$83</f>
        <v>0.1435512367491166</v>
      </c>
      <c r="J208" s="82">
        <f>J$68/Population!R$83</f>
        <v>0.1459170013386881</v>
      </c>
      <c r="K208" s="82">
        <f>K$68/Population!S$83</f>
        <v>0.14801915542011318</v>
      </c>
      <c r="L208" s="82">
        <f>L$68/Population!T$83</f>
        <v>0.14971628109995636</v>
      </c>
      <c r="M208" s="82">
        <f>M$68/Population!U$83</f>
        <v>0.15152801358234294</v>
      </c>
      <c r="N208" s="82">
        <f>N$68/Population!V$83</f>
        <v>0.15358931552587646</v>
      </c>
      <c r="O208" s="82">
        <f>O$68/Population!W$83</f>
        <v>0.15489021956087826</v>
      </c>
      <c r="P208" s="82">
        <f>P$68/Population!X$83</f>
        <v>0.15642023346303502</v>
      </c>
      <c r="Q208" s="82">
        <f>Q$68/Population!Y$83</f>
        <v>0.15765595463137996</v>
      </c>
      <c r="R208" s="82">
        <f>R$68/Population!Z$83</f>
        <v>0.15909090909090909</v>
      </c>
      <c r="S208" s="82">
        <f>S$68/Population!AA$83</f>
        <v>0.16028880866425993</v>
      </c>
      <c r="T208" s="82">
        <f>T$68/Population!AB$83</f>
        <v>0.16120124266482569</v>
      </c>
      <c r="U208" s="82">
        <f>U$68/Population!AC$83</f>
        <v>0.16214382632293081</v>
      </c>
      <c r="V208" s="82">
        <f>V$68/Population!AD$83</f>
        <v>0.16304700162074554</v>
      </c>
      <c r="W208" s="82">
        <f>W$68/Population!AE$83</f>
        <v>0.16391359593392629</v>
      </c>
      <c r="X208" s="82">
        <f>X$68/Population!AF$83</f>
        <v>0.164620711362921</v>
      </c>
      <c r="Y208" s="82">
        <f>Y$68/Population!AG$83</f>
        <v>0.16538461538461538</v>
      </c>
      <c r="Z208" s="82">
        <f>Z$68/Population!AH$83</f>
        <v>0.16617014233697452</v>
      </c>
      <c r="AA208" s="82">
        <f>AA$68/Population!AI$83</f>
        <v>0.16655585106382978</v>
      </c>
      <c r="AB208" s="82">
        <f>AB$68/Population!AJ$83</f>
        <v>0.16715542521994134</v>
      </c>
      <c r="AC208" s="82">
        <f>AC$68/Population!AK$83</f>
        <v>0.16774193548387098</v>
      </c>
      <c r="AD208" s="82">
        <f>AD$68/Population!AL$83</f>
        <v>0.16798481493198356</v>
      </c>
      <c r="AE208" s="82">
        <f>AE$68/Population!AM$83</f>
        <v>0.1684044233807267</v>
      </c>
      <c r="AF208" s="82">
        <f>AF$68/Population!AN$83</f>
        <v>0.16868932038834952</v>
      </c>
      <c r="AG208" s="82">
        <f>AG$68/Population!AO$83</f>
        <v>0.16898792943361188</v>
      </c>
      <c r="AH208" s="82">
        <f>AH$68/Population!AP$83</f>
        <v>0.16910362364907819</v>
      </c>
      <c r="AI208" s="82">
        <f>AI$68/Population!AQ$83</f>
        <v>0.16945263847918715</v>
      </c>
      <c r="AJ208" s="82">
        <f>AJ$68/Population!AR$83</f>
        <v>0.16966406515100102</v>
      </c>
      <c r="AK208" s="82">
        <f>AK$68/Population!AS$83</f>
        <v>0.16973777462792347</v>
      </c>
      <c r="AL208" s="82">
        <f>AL$68/Population!AT$83</f>
        <v>0.16995073891625614</v>
      </c>
      <c r="AM208" s="82">
        <f>AM$68/Population!AU$83</f>
        <v>0.17004624688722875</v>
      </c>
      <c r="AN208" s="82">
        <f>AN$68/Population!AV$83</f>
        <v>0.17015437392795885</v>
      </c>
      <c r="AO208" s="82">
        <f>AO$68/Population!AW$83</f>
        <v>0.17024906175366769</v>
      </c>
      <c r="AP208" s="82">
        <f>AP$68/Population!AX$83</f>
        <v>0.17020559487698012</v>
      </c>
      <c r="AQ208" s="82">
        <f>AQ$68/Population!AY$83</f>
        <v>0.17053250571708592</v>
      </c>
      <c r="AR208" s="82">
        <f>AR$68/Population!AZ$83</f>
        <v>0.17055253912488022</v>
      </c>
      <c r="AS208" s="82">
        <f>AS$68/Population!BA$83</f>
        <v>0.17052565707133918</v>
      </c>
      <c r="AT208" s="82">
        <f>AT$68/Population!BB$83</f>
        <v>0.17055437746137533</v>
      </c>
      <c r="AU208" s="82">
        <f>AU$68/Population!BC$83</f>
        <v>0.17049865631531799</v>
      </c>
      <c r="AV208" s="82">
        <f>AV$68/Population!BD$83</f>
        <v>0.17037894127856523</v>
      </c>
      <c r="AW208" s="82">
        <f>AW$68/Population!BE$83</f>
        <v>0.17049808429118773</v>
      </c>
      <c r="AX208" s="82">
        <f>AX$68/Population!BF$83</f>
        <v>0.17041198501872659</v>
      </c>
      <c r="AY208" s="82">
        <f>AY$68/Population!BG$83</f>
        <v>0.17052096569250319</v>
      </c>
      <c r="AZ208" s="82">
        <f>AZ$68/Population!BH$83</f>
        <v>0.17042667974497303</v>
      </c>
      <c r="BA208" s="82">
        <f>BA$68/Population!BI$83</f>
        <v>0.17043478260869566</v>
      </c>
      <c r="BB208" s="82">
        <f>BB$68/Population!BJ$83</f>
        <v>0.17048853439680958</v>
      </c>
      <c r="BC208" s="82">
        <f>BC$68/Population!BK$83</f>
        <v>0.17067553735926305</v>
      </c>
      <c r="BD208" s="82">
        <f>BD$68/Population!BL$83</f>
        <v>0.17041053446940357</v>
      </c>
    </row>
    <row r="209" spans="1:56" x14ac:dyDescent="0.2">
      <c r="C209" s="28">
        <v>74</v>
      </c>
      <c r="E209" s="82">
        <f>E$69/Population!M$84</f>
        <v>0.11257406188281764</v>
      </c>
      <c r="F209" s="82">
        <f>F$69/Population!N$84</f>
        <v>0.11465721040189125</v>
      </c>
      <c r="G209" s="82">
        <f>G$69/Population!O$84</f>
        <v>0.11728738187882157</v>
      </c>
      <c r="H209" s="82">
        <f>H$69/Population!P$84</f>
        <v>0.11957671957671957</v>
      </c>
      <c r="I209" s="82">
        <f>I$69/Population!Q$84</f>
        <v>0.12191842223218288</v>
      </c>
      <c r="J209" s="82">
        <f>J$69/Population!R$84</f>
        <v>0.12399283795881827</v>
      </c>
      <c r="K209" s="82">
        <f>K$69/Population!S$84</f>
        <v>0.12607320379575238</v>
      </c>
      <c r="L209" s="82">
        <f>L$69/Population!T$84</f>
        <v>0.12780960775672101</v>
      </c>
      <c r="M209" s="82">
        <f>M$69/Population!U$84</f>
        <v>0.12941696113074205</v>
      </c>
      <c r="N209" s="82">
        <f>N$69/Population!V$84</f>
        <v>0.13095749248604552</v>
      </c>
      <c r="O209" s="82">
        <f>O$69/Population!W$84</f>
        <v>0.13248945147679325</v>
      </c>
      <c r="P209" s="82">
        <f>P$69/Population!X$84</f>
        <v>0.13403310456197012</v>
      </c>
      <c r="Q209" s="82">
        <f>Q$69/Population!Y$84</f>
        <v>0.13527329925285098</v>
      </c>
      <c r="R209" s="82">
        <f>R$69/Population!Z$84</f>
        <v>0.13631156930126001</v>
      </c>
      <c r="S209" s="82">
        <f>S$69/Population!AA$84</f>
        <v>0.13735653461680858</v>
      </c>
      <c r="T209" s="82">
        <f>T$69/Population!AB$84</f>
        <v>0.13848396501457727</v>
      </c>
      <c r="U209" s="82">
        <f>U$69/Population!AC$84</f>
        <v>0.13937282229965156</v>
      </c>
      <c r="V209" s="82">
        <f>V$69/Population!AD$84</f>
        <v>0.1403148528405202</v>
      </c>
      <c r="W209" s="82">
        <f>W$69/Population!AE$84</f>
        <v>0.14094179202092871</v>
      </c>
      <c r="X209" s="82">
        <f>X$69/Population!AF$84</f>
        <v>0.14162127523229734</v>
      </c>
      <c r="Y209" s="82">
        <f>Y$69/Population!AG$84</f>
        <v>0.14249444620755317</v>
      </c>
      <c r="Z209" s="82">
        <f>Z$69/Population!AH$84</f>
        <v>0.14281098546042004</v>
      </c>
      <c r="AA209" s="82">
        <f>AA$69/Population!AI$84</f>
        <v>0.14347681014347682</v>
      </c>
      <c r="AB209" s="82">
        <f>AB$69/Population!AJ$84</f>
        <v>0.1440536013400335</v>
      </c>
      <c r="AC209" s="82">
        <f>AC$69/Population!AK$84</f>
        <v>0.14445173998686803</v>
      </c>
      <c r="AD209" s="82">
        <f>AD$69/Population!AL$84</f>
        <v>0.14489928525016244</v>
      </c>
      <c r="AE209" s="82">
        <f>AE$69/Population!AM$84</f>
        <v>0.14526919401083146</v>
      </c>
      <c r="AF209" s="82">
        <f>AF$69/Population!AN$84</f>
        <v>0.1453562340966921</v>
      </c>
      <c r="AG209" s="82">
        <f>AG$69/Population!AO$84</f>
        <v>0.14569334147831398</v>
      </c>
      <c r="AH209" s="82">
        <f>AH$69/Population!AP$84</f>
        <v>0.14610591900311526</v>
      </c>
      <c r="AI209" s="82">
        <f>AI$69/Population!AQ$84</f>
        <v>0.14619321817018555</v>
      </c>
      <c r="AJ209" s="82">
        <f>AJ$69/Population!AR$84</f>
        <v>0.14638971315529178</v>
      </c>
      <c r="AK209" s="82">
        <f>AK$69/Population!AS$84</f>
        <v>0.14641638225255973</v>
      </c>
      <c r="AL209" s="82">
        <f>AL$69/Population!AT$84</f>
        <v>0.14647184604419103</v>
      </c>
      <c r="AM209" s="82">
        <f>AM$69/Population!AU$84</f>
        <v>0.14679872656526352</v>
      </c>
      <c r="AN209" s="82">
        <f>AN$69/Population!AV$84</f>
        <v>0.14694315337861996</v>
      </c>
      <c r="AO209" s="82">
        <f>AO$69/Population!AW$84</f>
        <v>0.14689655172413793</v>
      </c>
      <c r="AP209" s="82">
        <f>AP$69/Population!AX$84</f>
        <v>0.147119341563786</v>
      </c>
      <c r="AQ209" s="82">
        <f>AQ$69/Population!AY$84</f>
        <v>0.14696918388079919</v>
      </c>
      <c r="AR209" s="82">
        <f>AR$69/Population!AZ$84</f>
        <v>0.1470298654414178</v>
      </c>
      <c r="AS209" s="82">
        <f>AS$69/Population!BA$84</f>
        <v>0.14725697786333011</v>
      </c>
      <c r="AT209" s="82">
        <f>AT$69/Population!BB$84</f>
        <v>0.14707730986800754</v>
      </c>
      <c r="AU209" s="82">
        <f>AU$69/Population!BC$84</f>
        <v>0.14724672954061455</v>
      </c>
      <c r="AV209" s="82">
        <f>AV$69/Population!BD$84</f>
        <v>0.14718225419664269</v>
      </c>
      <c r="AW209" s="82">
        <f>AW$69/Population!BE$84</f>
        <v>0.14725530060993319</v>
      </c>
      <c r="AX209" s="82">
        <f>AX$69/Population!BF$84</f>
        <v>0.14729321242099477</v>
      </c>
      <c r="AY209" s="82">
        <f>AY$69/Population!BG$84</f>
        <v>0.14715359828141783</v>
      </c>
      <c r="AZ209" s="82">
        <f>AZ$69/Population!BH$84</f>
        <v>0.1471938775510204</v>
      </c>
      <c r="BA209" s="82">
        <f>BA$69/Population!BI$84</f>
        <v>0.14718188530642382</v>
      </c>
      <c r="BB209" s="82">
        <f>BB$69/Population!BJ$84</f>
        <v>0.14709548740962353</v>
      </c>
      <c r="BC209" s="82">
        <f>BC$69/Population!BK$84</f>
        <v>0.14707353676838419</v>
      </c>
      <c r="BD209" s="82">
        <f>BD$69/Population!BL$84</f>
        <v>0.14707392197125257</v>
      </c>
    </row>
    <row r="210" spans="1:56" x14ac:dyDescent="0.2">
      <c r="C210" s="28">
        <v>75</v>
      </c>
      <c r="E210" s="82">
        <f>E$70/Population!M$85</f>
        <v>9.5840867992766726E-2</v>
      </c>
      <c r="F210" s="82">
        <f>F$70/Population!N$85</f>
        <v>9.8262032085561501E-2</v>
      </c>
      <c r="G210" s="82">
        <f>G$70/Population!O$85</f>
        <v>0.10084033613445378</v>
      </c>
      <c r="H210" s="82">
        <f>H$70/Population!P$85</f>
        <v>0.10270880361173815</v>
      </c>
      <c r="I210" s="82">
        <f>I$70/Population!Q$85</f>
        <v>0.10472610096670247</v>
      </c>
      <c r="J210" s="82">
        <f>J$70/Population!R$85</f>
        <v>0.10686675761709868</v>
      </c>
      <c r="K210" s="82">
        <f>K$70/Population!S$85</f>
        <v>0.10848842487517023</v>
      </c>
      <c r="L210" s="82">
        <f>L$70/Population!T$85</f>
        <v>0.11039853412734768</v>
      </c>
      <c r="M210" s="82">
        <f>M$70/Population!U$85</f>
        <v>0.11165698972755694</v>
      </c>
      <c r="N210" s="82">
        <f>N$70/Population!V$85</f>
        <v>0.11319910514541387</v>
      </c>
      <c r="O210" s="82">
        <f>O$70/Population!W$85</f>
        <v>0.11434782608695652</v>
      </c>
      <c r="P210" s="82">
        <f>P$70/Population!X$85</f>
        <v>0.11576249466040153</v>
      </c>
      <c r="Q210" s="82">
        <f>Q$70/Population!Y$85</f>
        <v>0.11683006535947713</v>
      </c>
      <c r="R210" s="82">
        <f>R$70/Population!Z$85</f>
        <v>0.11813842482100238</v>
      </c>
      <c r="S210" s="82">
        <f>S$70/Population!AA$85</f>
        <v>0.11896485129393589</v>
      </c>
      <c r="T210" s="82">
        <f>T$70/Population!AB$85</f>
        <v>0.11980531636091352</v>
      </c>
      <c r="U210" s="82">
        <f>U$70/Population!AC$85</f>
        <v>0.12081031307550645</v>
      </c>
      <c r="V210" s="82">
        <f>V$70/Population!AD$85</f>
        <v>0.12143611404435058</v>
      </c>
      <c r="W210" s="82">
        <f>W$70/Population!AE$85</f>
        <v>0.1223643276875216</v>
      </c>
      <c r="X210" s="82">
        <f>X$70/Population!AF$85</f>
        <v>0.12285336856010567</v>
      </c>
      <c r="Y210" s="82">
        <f>Y$70/Population!AG$85</f>
        <v>0.12354463130659767</v>
      </c>
      <c r="Z210" s="82">
        <f>Z$70/Population!AH$85</f>
        <v>0.12395900064061499</v>
      </c>
      <c r="AA210" s="82">
        <f>AA$70/Population!AI$85</f>
        <v>0.12451108213820078</v>
      </c>
      <c r="AB210" s="82">
        <f>AB$70/Population!AJ$85</f>
        <v>0.12487377987209694</v>
      </c>
      <c r="AC210" s="82">
        <f>AC$70/Population!AK$85</f>
        <v>0.12533783783783783</v>
      </c>
      <c r="AD210" s="82">
        <f>AD$70/Population!AL$85</f>
        <v>0.12578616352201258</v>
      </c>
      <c r="AE210" s="82">
        <f>AE$70/Population!AM$85</f>
        <v>0.12606417812704648</v>
      </c>
      <c r="AF210" s="82">
        <f>AF$70/Population!AN$85</f>
        <v>0.12648475120385233</v>
      </c>
      <c r="AG210" s="82">
        <f>AG$70/Population!AO$85</f>
        <v>0.12656199935917975</v>
      </c>
      <c r="AH210" s="82">
        <f>AH$70/Population!AP$85</f>
        <v>0.12673023685019993</v>
      </c>
      <c r="AI210" s="82">
        <f>AI$70/Population!AQ$85</f>
        <v>0.12703889585947303</v>
      </c>
      <c r="AJ210" s="82">
        <f>AJ$70/Population!AR$85</f>
        <v>0.12721417069243157</v>
      </c>
      <c r="AK210" s="82">
        <f>AK$70/Population!AS$85</f>
        <v>0.12744772651842018</v>
      </c>
      <c r="AL210" s="82">
        <f>AL$70/Population!AT$85</f>
        <v>0.12740384615384615</v>
      </c>
      <c r="AM210" s="82">
        <f>AM$70/Population!AU$85</f>
        <v>0.12764431695948369</v>
      </c>
      <c r="AN210" s="82">
        <f>AN$70/Population!AV$85</f>
        <v>0.12775800711743773</v>
      </c>
      <c r="AO210" s="82">
        <f>AO$70/Population!AW$85</f>
        <v>0.12769784172661872</v>
      </c>
      <c r="AP210" s="82">
        <f>AP$70/Population!AX$85</f>
        <v>0.1276005547850208</v>
      </c>
      <c r="AQ210" s="82">
        <f>AQ$70/Population!AY$85</f>
        <v>0.12793103448275861</v>
      </c>
      <c r="AR210" s="82">
        <f>AR$70/Population!AZ$85</f>
        <v>0.12768130745658834</v>
      </c>
      <c r="AS210" s="82">
        <f>AS$70/Population!BA$85</f>
        <v>0.1276806334543055</v>
      </c>
      <c r="AT210" s="82">
        <f>AT$70/Population!BB$85</f>
        <v>0.12802321831667204</v>
      </c>
      <c r="AU210" s="82">
        <f>AU$70/Population!BC$85</f>
        <v>0.1279216677195199</v>
      </c>
      <c r="AV210" s="82">
        <f>AV$70/Population!BD$85</f>
        <v>0.12778966676857231</v>
      </c>
      <c r="AW210" s="82">
        <f>AW$70/Population!BE$85</f>
        <v>0.12801204819277109</v>
      </c>
      <c r="AX210" s="82">
        <f>AX$70/Population!BF$85</f>
        <v>0.1278085789320105</v>
      </c>
      <c r="AY210" s="82">
        <f>AY$70/Population!BG$85</f>
        <v>0.12775938189845473</v>
      </c>
      <c r="AZ210" s="82">
        <f>AZ$70/Population!BH$85</f>
        <v>0.127831715210356</v>
      </c>
      <c r="BA210" s="82">
        <f>BA$70/Population!BI$85</f>
        <v>0.12781762295081966</v>
      </c>
      <c r="BB210" s="82">
        <f>BB$70/Population!BJ$85</f>
        <v>0.12799604645416357</v>
      </c>
      <c r="BC210" s="82">
        <f>BC$70/Population!BK$85</f>
        <v>0.127909887359199</v>
      </c>
      <c r="BD210" s="82">
        <f>BD$70/Population!BL$85</f>
        <v>0.12804418779814211</v>
      </c>
    </row>
    <row r="211" spans="1:56" x14ac:dyDescent="0.2">
      <c r="C211" s="28">
        <v>76</v>
      </c>
      <c r="E211" s="82">
        <f>E$71/Population!M$86</f>
        <v>8.4639498432601878E-2</v>
      </c>
      <c r="F211" s="82">
        <f>F$71/Population!N$86</f>
        <v>8.7116564417177911E-2</v>
      </c>
      <c r="G211" s="82">
        <f>G$71/Population!O$86</f>
        <v>8.9055064581917059E-2</v>
      </c>
      <c r="H211" s="82">
        <f>H$71/Population!P$86</f>
        <v>9.1575091575091569E-2</v>
      </c>
      <c r="I211" s="82">
        <f>I$71/Population!Q$86</f>
        <v>9.351692484222604E-2</v>
      </c>
      <c r="J211" s="82">
        <f>J$71/Population!R$86</f>
        <v>9.4978165938864628E-2</v>
      </c>
      <c r="K211" s="82">
        <f>K$71/Population!S$86</f>
        <v>9.6580406654343809E-2</v>
      </c>
      <c r="L211" s="82">
        <f>L$71/Population!T$86</f>
        <v>9.8201936376210233E-2</v>
      </c>
      <c r="M211" s="82">
        <f>M$71/Population!U$86</f>
        <v>0.1</v>
      </c>
      <c r="N211" s="82">
        <f>N$71/Population!V$86</f>
        <v>0.1010421386497508</v>
      </c>
      <c r="O211" s="82">
        <f>O$71/Population!W$86</f>
        <v>0.10258738084430322</v>
      </c>
      <c r="P211" s="82">
        <f>P$71/Population!X$86</f>
        <v>0.10361552028218694</v>
      </c>
      <c r="Q211" s="82">
        <f>Q$71/Population!Y$86</f>
        <v>0.10476190476190476</v>
      </c>
      <c r="R211" s="82">
        <f>R$71/Population!Z$86</f>
        <v>0.10596026490066225</v>
      </c>
      <c r="S211" s="82">
        <f>S$71/Population!AA$86</f>
        <v>0.10676873489121676</v>
      </c>
      <c r="T211" s="82">
        <f>T$71/Population!AB$86</f>
        <v>0.10750586395621579</v>
      </c>
      <c r="U211" s="82">
        <f>U$71/Population!AC$86</f>
        <v>0.10833333333333334</v>
      </c>
      <c r="V211" s="82">
        <f>V$71/Population!AD$86</f>
        <v>0.10920611256056653</v>
      </c>
      <c r="W211" s="82">
        <f>W$71/Population!AE$86</f>
        <v>0.10964756140975436</v>
      </c>
      <c r="X211" s="82">
        <f>X$71/Population!AF$86</f>
        <v>0.11045089129674938</v>
      </c>
      <c r="Y211" s="82">
        <f>Y$71/Population!AG$86</f>
        <v>0.11081441922563418</v>
      </c>
      <c r="Z211" s="82">
        <f>Z$71/Population!AH$86</f>
        <v>0.11143790849673203</v>
      </c>
      <c r="AA211" s="82">
        <f>AA$71/Population!AI$86</f>
        <v>0.11197411003236246</v>
      </c>
      <c r="AB211" s="82">
        <f>AB$71/Population!AJ$86</f>
        <v>0.11224489795918367</v>
      </c>
      <c r="AC211" s="82">
        <f>AC$71/Population!AK$86</f>
        <v>0.11281005776418621</v>
      </c>
      <c r="AD211" s="82">
        <f>AD$71/Population!AL$86</f>
        <v>0.1131946812137743</v>
      </c>
      <c r="AE211" s="82">
        <f>AE$71/Population!AM$86</f>
        <v>0.11322645290581163</v>
      </c>
      <c r="AF211" s="82">
        <f>AF$71/Population!AN$86</f>
        <v>0.11360634081902246</v>
      </c>
      <c r="AG211" s="82">
        <f>AG$71/Population!AO$86</f>
        <v>0.11398963730569948</v>
      </c>
      <c r="AH211" s="82">
        <f>AH$71/Population!AP$86</f>
        <v>0.11405492730210016</v>
      </c>
      <c r="AI211" s="82">
        <f>AI$71/Population!AQ$86</f>
        <v>0.11410852713178295</v>
      </c>
      <c r="AJ211" s="82">
        <f>AJ$71/Population!AR$86</f>
        <v>0.11444830856781536</v>
      </c>
      <c r="AK211" s="82">
        <f>AK$71/Population!AS$86</f>
        <v>0.1145360155743024</v>
      </c>
      <c r="AL211" s="82">
        <f>AL$71/Population!AT$86</f>
        <v>0.1146773654296222</v>
      </c>
      <c r="AM211" s="82">
        <f>AM$71/Population!AU$86</f>
        <v>0.1148391560013836</v>
      </c>
      <c r="AN211" s="82">
        <f>AN$71/Population!AV$86</f>
        <v>0.11480144404332129</v>
      </c>
      <c r="AO211" s="82">
        <f>AO$71/Population!AW$86</f>
        <v>0.11501254030813328</v>
      </c>
      <c r="AP211" s="82">
        <f>AP$71/Population!AX$86</f>
        <v>0.11477190441708907</v>
      </c>
      <c r="AQ211" s="82">
        <f>AQ$71/Population!AY$86</f>
        <v>0.11483420593368238</v>
      </c>
      <c r="AR211" s="82">
        <f>AR$71/Population!AZ$86</f>
        <v>0.11485079805690493</v>
      </c>
      <c r="AS211" s="82">
        <f>AS$71/Population!BA$86</f>
        <v>0.11506849315068493</v>
      </c>
      <c r="AT211" s="82">
        <f>AT$71/Population!BB$86</f>
        <v>0.11516760703617657</v>
      </c>
      <c r="AU211" s="82">
        <f>AU$71/Population!BC$86</f>
        <v>0.11511024643320363</v>
      </c>
      <c r="AV211" s="82">
        <f>AV$71/Population!BD$86</f>
        <v>0.11495712924738012</v>
      </c>
      <c r="AW211" s="82">
        <f>AW$71/Population!BE$86</f>
        <v>0.11493546404425323</v>
      </c>
      <c r="AX211" s="82">
        <f>AX$71/Population!BF$86</f>
        <v>0.11504692703602785</v>
      </c>
      <c r="AY211" s="82">
        <f>AY$71/Population!BG$86</f>
        <v>0.11495601173020528</v>
      </c>
      <c r="AZ211" s="82">
        <f>AZ$71/Population!BH$86</f>
        <v>0.11508596783139212</v>
      </c>
      <c r="BA211" s="82">
        <f>BA$71/Population!BI$86</f>
        <v>0.11517615176151762</v>
      </c>
      <c r="BB211" s="82">
        <f>BB$71/Population!BJ$86</f>
        <v>0.11502830674215131</v>
      </c>
      <c r="BC211" s="82">
        <f>BC$71/Population!BK$86</f>
        <v>0.11519364448857994</v>
      </c>
      <c r="BD211" s="82">
        <f>BD$71/Population!BL$86</f>
        <v>0.11516218254966056</v>
      </c>
    </row>
    <row r="212" spans="1:56" x14ac:dyDescent="0.2">
      <c r="C212" s="28">
        <v>77</v>
      </c>
      <c r="E212" s="82">
        <f>E$72/Population!M$87</f>
        <v>7.9529737206085749E-2</v>
      </c>
      <c r="F212" s="82">
        <f>F$72/Population!N$87</f>
        <v>8.1893793985924501E-2</v>
      </c>
      <c r="G212" s="82">
        <f>G$72/Population!O$87</f>
        <v>8.3854818523153948E-2</v>
      </c>
      <c r="H212" s="82">
        <f>H$72/Population!P$87</f>
        <v>8.5932085932085928E-2</v>
      </c>
      <c r="I212" s="82">
        <f>I$72/Population!Q$87</f>
        <v>8.7686567164179108E-2</v>
      </c>
      <c r="J212" s="82">
        <f>J$72/Population!R$87</f>
        <v>8.942139099941554E-2</v>
      </c>
      <c r="K212" s="82">
        <f>K$72/Population!S$87</f>
        <v>9.1161756531406332E-2</v>
      </c>
      <c r="L212" s="82">
        <f>L$72/Population!T$87</f>
        <v>9.2662276575729063E-2</v>
      </c>
      <c r="M212" s="82">
        <f>M$72/Population!U$87</f>
        <v>9.3764650726676044E-2</v>
      </c>
      <c r="N212" s="82">
        <f>N$72/Population!V$87</f>
        <v>9.50354609929078E-2</v>
      </c>
      <c r="O212" s="82">
        <f>O$72/Population!W$87</f>
        <v>9.6729617687701525E-2</v>
      </c>
      <c r="P212" s="82">
        <f>P$72/Population!X$87</f>
        <v>9.7740894421392346E-2</v>
      </c>
      <c r="Q212" s="82">
        <f>Q$72/Population!Y$87</f>
        <v>9.8478066248880933E-2</v>
      </c>
      <c r="R212" s="82">
        <f>R$72/Population!Z$87</f>
        <v>9.9736379613356768E-2</v>
      </c>
      <c r="S212" s="82">
        <f>S$72/Population!AA$87</f>
        <v>0.10075566750629723</v>
      </c>
      <c r="T212" s="82">
        <f>T$72/Population!AB$87</f>
        <v>0.10130718954248366</v>
      </c>
      <c r="U212" s="82">
        <f>U$72/Population!AC$87</f>
        <v>0.10225921521997622</v>
      </c>
      <c r="V212" s="82">
        <f>V$72/Population!AD$87</f>
        <v>0.10287907869481766</v>
      </c>
      <c r="W212" s="82">
        <f>W$72/Population!AE$87</f>
        <v>0.10343525858814646</v>
      </c>
      <c r="X212" s="82">
        <f>X$72/Population!AF$87</f>
        <v>0.10418168709444844</v>
      </c>
      <c r="Y212" s="82">
        <f>Y$72/Population!AG$87</f>
        <v>0.10474168435951875</v>
      </c>
      <c r="Z212" s="82">
        <f>Z$72/Population!AH$87</f>
        <v>0.10506756756756756</v>
      </c>
      <c r="AA212" s="82">
        <f>AA$72/Population!AI$87</f>
        <v>0.10548941798941799</v>
      </c>
      <c r="AB212" s="82">
        <f>AB$72/Population!AJ$87</f>
        <v>0.10602094240837696</v>
      </c>
      <c r="AC212" s="82">
        <f>AC$72/Population!AK$87</f>
        <v>0.1064891846921797</v>
      </c>
      <c r="AD212" s="82">
        <f>AD$72/Population!AL$87</f>
        <v>0.10679945054945054</v>
      </c>
      <c r="AE212" s="82">
        <f>AE$72/Population!AM$87</f>
        <v>0.107130554598691</v>
      </c>
      <c r="AF212" s="82">
        <f>AF$72/Population!AN$87</f>
        <v>0.10728744939271255</v>
      </c>
      <c r="AG212" s="82">
        <f>AG$72/Population!AO$87</f>
        <v>0.10740493662441628</v>
      </c>
      <c r="AH212" s="82">
        <f>AH$72/Population!AP$87</f>
        <v>0.10755148741418764</v>
      </c>
      <c r="AI212" s="82">
        <f>AI$72/Population!AQ$87</f>
        <v>0.10795825179386823</v>
      </c>
      <c r="AJ212" s="82">
        <f>AJ$72/Population!AR$87</f>
        <v>0.10794743429286609</v>
      </c>
      <c r="AK212" s="82">
        <f>AK$72/Population!AS$87</f>
        <v>0.10813397129186603</v>
      </c>
      <c r="AL212" s="82">
        <f>AL$72/Population!AT$87</f>
        <v>0.10831151832460734</v>
      </c>
      <c r="AM212" s="82">
        <f>AM$72/Population!AU$87</f>
        <v>0.10822656776803777</v>
      </c>
      <c r="AN212" s="82">
        <f>AN$72/Population!AV$87</f>
        <v>0.10843793584379359</v>
      </c>
      <c r="AO212" s="82">
        <f>AO$72/Population!AW$87</f>
        <v>0.10844250363901019</v>
      </c>
      <c r="AP212" s="82">
        <f>AP$72/Population!AX$87</f>
        <v>0.10866425992779784</v>
      </c>
      <c r="AQ212" s="82">
        <f>AQ$72/Population!AY$87</f>
        <v>0.10867979576951131</v>
      </c>
      <c r="AR212" s="82">
        <f>AR$72/Population!AZ$87</f>
        <v>0.10861159929701231</v>
      </c>
      <c r="AS212" s="82">
        <f>AS$72/Population!BA$87</f>
        <v>0.10866526904262754</v>
      </c>
      <c r="AT212" s="82">
        <f>AT$72/Population!BB$87</f>
        <v>0.10862068965517241</v>
      </c>
      <c r="AU212" s="82">
        <f>AU$72/Population!BC$87</f>
        <v>0.10858670230537922</v>
      </c>
      <c r="AV212" s="82">
        <f>AV$72/Population!BD$87</f>
        <v>0.10868146214099217</v>
      </c>
      <c r="AW212" s="82">
        <f>AW$72/Population!BE$87</f>
        <v>0.10866091403004155</v>
      </c>
      <c r="AX212" s="82">
        <f>AX$72/Population!BF$87</f>
        <v>0.10884353741496598</v>
      </c>
      <c r="AY212" s="82">
        <f>AY$72/Population!BG$87</f>
        <v>0.10874200426439233</v>
      </c>
      <c r="AZ212" s="82">
        <f>AZ$72/Population!BH$87</f>
        <v>0.1088495575221239</v>
      </c>
      <c r="BA212" s="82">
        <f>BA$72/Population!BI$87</f>
        <v>0.10878661087866109</v>
      </c>
      <c r="BB212" s="82">
        <f>BB$72/Population!BJ$87</f>
        <v>0.10871934604904632</v>
      </c>
      <c r="BC212" s="82">
        <f>BC$72/Population!BK$87</f>
        <v>0.10866752910737387</v>
      </c>
      <c r="BD212" s="82">
        <f>BD$72/Population!BL$87</f>
        <v>0.10878243512974052</v>
      </c>
    </row>
    <row r="213" spans="1:56" x14ac:dyDescent="0.2">
      <c r="C213" s="28">
        <v>78</v>
      </c>
      <c r="E213" s="82">
        <f>E$73/Population!M$88</f>
        <v>7.098765432098765E-2</v>
      </c>
      <c r="F213" s="82">
        <f>F$73/Population!N$88</f>
        <v>7.355021216407355E-2</v>
      </c>
      <c r="G213" s="82">
        <f>G$73/Population!O$88</f>
        <v>7.5212557226945712E-2</v>
      </c>
      <c r="H213" s="82">
        <f>H$73/Population!P$88</f>
        <v>7.7415227127319255E-2</v>
      </c>
      <c r="I213" s="82">
        <f>I$73/Population!Q$88</f>
        <v>7.9320113314447591E-2</v>
      </c>
      <c r="J213" s="82">
        <f>J$73/Population!R$88</f>
        <v>8.0686149936467597E-2</v>
      </c>
      <c r="K213" s="82">
        <f>K$73/Population!S$88</f>
        <v>8.2338902147971363E-2</v>
      </c>
      <c r="L213" s="82">
        <f>L$73/Population!T$88</f>
        <v>8.390022675736962E-2</v>
      </c>
      <c r="M213" s="82">
        <f>M$73/Population!U$88</f>
        <v>8.5371702637889693E-2</v>
      </c>
      <c r="N213" s="82">
        <f>N$73/Population!V$88</f>
        <v>8.6520076481835559E-2</v>
      </c>
      <c r="O213" s="82">
        <f>O$73/Population!W$88</f>
        <v>8.7668593448940263E-2</v>
      </c>
      <c r="P213" s="82">
        <f>P$73/Population!X$88</f>
        <v>8.8607594936708861E-2</v>
      </c>
      <c r="Q213" s="82">
        <f>Q$73/Population!Y$88</f>
        <v>9.0056285178236398E-2</v>
      </c>
      <c r="R213" s="82">
        <f>R$73/Population!Z$88</f>
        <v>9.0619307832422585E-2</v>
      </c>
      <c r="S213" s="82">
        <f>S$73/Population!AA$88</f>
        <v>9.1599642537980336E-2</v>
      </c>
      <c r="T213" s="82">
        <f>T$73/Population!AB$88</f>
        <v>9.2576791808873723E-2</v>
      </c>
      <c r="U213" s="82">
        <f>U$73/Population!AC$88</f>
        <v>9.3360995850622408E-2</v>
      </c>
      <c r="V213" s="82">
        <f>V$73/Population!AD$88</f>
        <v>9.3762575452716296E-2</v>
      </c>
      <c r="W213" s="82">
        <f>W$73/Population!AE$88</f>
        <v>9.4699922057677313E-2</v>
      </c>
      <c r="X213" s="82">
        <f>X$73/Population!AF$88</f>
        <v>9.4982765224052093E-2</v>
      </c>
      <c r="Y213" s="82">
        <f>Y$73/Population!AG$88</f>
        <v>9.579524680073126E-2</v>
      </c>
      <c r="Z213" s="82">
        <f>Z$73/Population!AH$88</f>
        <v>9.6126255380200865E-2</v>
      </c>
      <c r="AA213" s="82">
        <f>AA$73/Population!AI$88</f>
        <v>9.6542280041081827E-2</v>
      </c>
      <c r="AB213" s="82">
        <f>AB$73/Population!AJ$88</f>
        <v>9.6817420435510892E-2</v>
      </c>
      <c r="AC213" s="82">
        <f>AC$73/Population!AK$88</f>
        <v>9.7447795823665889E-2</v>
      </c>
      <c r="AD213" s="82">
        <f>AD$73/Population!AL$88</f>
        <v>9.7708894878706196E-2</v>
      </c>
      <c r="AE213" s="82">
        <f>AE$73/Population!AM$88</f>
        <v>9.8018769551616272E-2</v>
      </c>
      <c r="AF213" s="82">
        <f>AF$73/Population!AN$88</f>
        <v>9.8292087835482753E-2</v>
      </c>
      <c r="AG213" s="82">
        <f>AG$73/Population!AO$88</f>
        <v>9.8259979529170927E-2</v>
      </c>
      <c r="AH213" s="82">
        <f>AH$73/Population!AP$88</f>
        <v>9.84822934232715E-2</v>
      </c>
      <c r="AI213" s="82">
        <f>AI$73/Population!AQ$88</f>
        <v>9.8810310641110372E-2</v>
      </c>
      <c r="AJ213" s="82">
        <f>AJ$73/Population!AR$88</f>
        <v>9.8879367172050092E-2</v>
      </c>
      <c r="AK213" s="82">
        <f>AK$73/Population!AS$88</f>
        <v>9.89566866898514E-2</v>
      </c>
      <c r="AL213" s="82">
        <f>AL$73/Population!AT$88</f>
        <v>9.9226804123711335E-2</v>
      </c>
      <c r="AM213" s="82">
        <f>AM$73/Population!AU$88</f>
        <v>9.9140779907468599E-2</v>
      </c>
      <c r="AN213" s="82">
        <f>AN$73/Population!AV$88</f>
        <v>9.9387338325391428E-2</v>
      </c>
      <c r="AO213" s="82">
        <f>AO$73/Population!AW$88</f>
        <v>9.9260823653643082E-2</v>
      </c>
      <c r="AP213" s="82">
        <f>AP$73/Population!AX$88</f>
        <v>9.9522585383767903E-2</v>
      </c>
      <c r="AQ213" s="82">
        <f>AQ$73/Population!AY$88</f>
        <v>9.9417334304442828E-2</v>
      </c>
      <c r="AR213" s="82">
        <f>AR$73/Population!AZ$88</f>
        <v>9.930121368150055E-2</v>
      </c>
      <c r="AS213" s="82">
        <f>AS$73/Population!BA$88</f>
        <v>9.961006735200284E-2</v>
      </c>
      <c r="AT213" s="82">
        <f>AT$73/Population!BB$88</f>
        <v>9.9682986967241982E-2</v>
      </c>
      <c r="AU213" s="82">
        <f>AU$73/Population!BC$88</f>
        <v>9.9409106708376785E-2</v>
      </c>
      <c r="AV213" s="82">
        <f>AV$73/Population!BD$88</f>
        <v>9.9629754291484351E-2</v>
      </c>
      <c r="AW213" s="82">
        <f>AW$73/Population!BE$88</f>
        <v>9.9638276882604404E-2</v>
      </c>
      <c r="AX213" s="82">
        <f>AX$73/Population!BF$88</f>
        <v>9.9484867997424342E-2</v>
      </c>
      <c r="AY213" s="82">
        <f>AY$73/Population!BG$88</f>
        <v>9.9657427592650269E-2</v>
      </c>
      <c r="AZ213" s="82">
        <f>AZ$73/Population!BH$88</f>
        <v>9.9662680159460282E-2</v>
      </c>
      <c r="BA213" s="82">
        <f>BA$73/Population!BI$88</f>
        <v>9.9495099495099493E-2</v>
      </c>
      <c r="BB213" s="82">
        <f>BB$73/Population!BJ$88</f>
        <v>9.9663110612015715E-2</v>
      </c>
      <c r="BC213" s="82">
        <f>BC$73/Population!BK$88</f>
        <v>9.9533863449410481E-2</v>
      </c>
      <c r="BD213" s="82">
        <f>BD$73/Population!BL$88</f>
        <v>9.94532673782869E-2</v>
      </c>
    </row>
    <row r="214" spans="1:56" x14ac:dyDescent="0.2">
      <c r="C214" s="28">
        <v>79</v>
      </c>
      <c r="E214" s="82">
        <f>E$74/Population!M$89</f>
        <v>6.3386155129274396E-2</v>
      </c>
      <c r="F214" s="82">
        <f>F$74/Population!N$89</f>
        <v>6.5716547901821062E-2</v>
      </c>
      <c r="G214" s="82">
        <f>G$74/Population!O$89</f>
        <v>6.7489114658925986E-2</v>
      </c>
      <c r="H214" s="82">
        <f>H$74/Population!P$89</f>
        <v>6.9081153588195846E-2</v>
      </c>
      <c r="I214" s="82">
        <f>I$74/Population!Q$89</f>
        <v>7.0773263433813891E-2</v>
      </c>
      <c r="J214" s="82">
        <f>J$74/Population!R$89</f>
        <v>7.2516316171138503E-2</v>
      </c>
      <c r="K214" s="82">
        <f>K$74/Population!S$89</f>
        <v>7.4122236671001304E-2</v>
      </c>
      <c r="L214" s="82">
        <f>L$74/Population!T$89</f>
        <v>7.5091575091575088E-2</v>
      </c>
      <c r="M214" s="82">
        <f>M$74/Population!U$89</f>
        <v>7.6521739130434779E-2</v>
      </c>
      <c r="N214" s="82">
        <f>N$74/Population!V$89</f>
        <v>7.7413032827045564E-2</v>
      </c>
      <c r="O214" s="82">
        <f>O$74/Population!W$89</f>
        <v>7.8574914592484141E-2</v>
      </c>
      <c r="P214" s="82">
        <f>P$74/Population!X$89</f>
        <v>7.9646017699115043E-2</v>
      </c>
      <c r="Q214" s="82">
        <f>Q$74/Population!Y$89</f>
        <v>8.0861244019138759E-2</v>
      </c>
      <c r="R214" s="82">
        <f>R$74/Population!Z$89</f>
        <v>8.1818181818181818E-2</v>
      </c>
      <c r="S214" s="82">
        <f>S$74/Population!AA$89</f>
        <v>8.2636954503249774E-2</v>
      </c>
      <c r="T214" s="82">
        <f>T$74/Population!AB$89</f>
        <v>8.3295402822030046E-2</v>
      </c>
      <c r="U214" s="82">
        <f>U$74/Population!AC$89</f>
        <v>8.3876575401999137E-2</v>
      </c>
      <c r="V214" s="82">
        <f>V$74/Population!AD$89</f>
        <v>8.4495141529362064E-2</v>
      </c>
      <c r="W214" s="82">
        <f>W$74/Population!AE$89</f>
        <v>8.5176085176085173E-2</v>
      </c>
      <c r="X214" s="82">
        <f>X$74/Population!AF$89</f>
        <v>8.5612366230677764E-2</v>
      </c>
      <c r="Y214" s="82">
        <f>Y$74/Population!AG$89</f>
        <v>8.6059190031152644E-2</v>
      </c>
      <c r="Z214" s="82">
        <f>Z$74/Population!AH$89</f>
        <v>8.6584912671869199E-2</v>
      </c>
      <c r="AA214" s="82">
        <f>AA$74/Population!AI$89</f>
        <v>8.7099125364431484E-2</v>
      </c>
      <c r="AB214" s="82">
        <f>AB$74/Population!AJ$89</f>
        <v>8.7243656586722285E-2</v>
      </c>
      <c r="AC214" s="82">
        <f>AC$74/Population!AK$89</f>
        <v>8.7725263515810947E-2</v>
      </c>
      <c r="AD214" s="82">
        <f>AD$74/Population!AL$89</f>
        <v>8.7760591795561532E-2</v>
      </c>
      <c r="AE214" s="82">
        <f>AE$74/Population!AM$89</f>
        <v>8.8174982911825017E-2</v>
      </c>
      <c r="AF214" s="82">
        <f>AF$74/Population!AN$89</f>
        <v>8.8442565186751226E-2</v>
      </c>
      <c r="AG214" s="82">
        <f>AG$74/Population!AO$89</f>
        <v>8.8661250441540093E-2</v>
      </c>
      <c r="AH214" s="82">
        <f>AH$74/Population!AP$89</f>
        <v>8.8835119253370204E-2</v>
      </c>
      <c r="AI214" s="82">
        <f>AI$74/Population!AQ$89</f>
        <v>8.8828151691151352E-2</v>
      </c>
      <c r="AJ214" s="82">
        <f>AJ$74/Population!AR$89</f>
        <v>8.899297423887588E-2</v>
      </c>
      <c r="AK214" s="82">
        <f>AK$74/Population!AS$89</f>
        <v>8.9059372915276852E-2</v>
      </c>
      <c r="AL214" s="82">
        <f>AL$74/Population!AT$89</f>
        <v>8.9251439539347402E-2</v>
      </c>
      <c r="AM214" s="82">
        <f>AM$74/Population!AU$89</f>
        <v>8.9279895731508629E-2</v>
      </c>
      <c r="AN214" s="82">
        <f>AN$74/Population!AV$89</f>
        <v>8.9572192513368981E-2</v>
      </c>
      <c r="AO214" s="82">
        <f>AO$74/Population!AW$89</f>
        <v>8.9470061940812112E-2</v>
      </c>
      <c r="AP214" s="82">
        <f>AP$74/Population!AX$89</f>
        <v>8.9647812166488788E-2</v>
      </c>
      <c r="AQ214" s="82">
        <f>AQ$74/Population!AY$89</f>
        <v>8.9424860853432278E-2</v>
      </c>
      <c r="AR214" s="82">
        <f>AR$74/Population!AZ$89</f>
        <v>8.9403973509933773E-2</v>
      </c>
      <c r="AS214" s="82">
        <f>AS$74/Population!BA$89</f>
        <v>8.9524517087667163E-2</v>
      </c>
      <c r="AT214" s="82">
        <f>AT$74/Population!BB$89</f>
        <v>8.9477451682176093E-2</v>
      </c>
      <c r="AU214" s="82">
        <f>AU$74/Population!BC$89</f>
        <v>8.9584073942410233E-2</v>
      </c>
      <c r="AV214" s="82">
        <f>AV$74/Population!BD$89</f>
        <v>8.9793055068397049E-2</v>
      </c>
      <c r="AW214" s="82">
        <f>AW$74/Population!BE$89</f>
        <v>8.9673913043478257E-2</v>
      </c>
      <c r="AX214" s="82">
        <f>AX$74/Population!BF$89</f>
        <v>8.9552238805970144E-2</v>
      </c>
      <c r="AY214" s="82">
        <f>AY$74/Population!BG$89</f>
        <v>8.9610389610389612E-2</v>
      </c>
      <c r="AZ214" s="82">
        <f>AZ$74/Population!BH$89</f>
        <v>8.9795918367346933E-2</v>
      </c>
      <c r="BA214" s="82">
        <f>BA$74/Population!BI$89</f>
        <v>8.964451313755796E-2</v>
      </c>
      <c r="BB214" s="82">
        <f>BB$74/Population!BJ$89</f>
        <v>8.979347500748279E-2</v>
      </c>
      <c r="BC214" s="82">
        <f>BC$74/Population!BK$89</f>
        <v>8.9674681753889679E-2</v>
      </c>
      <c r="BD214" s="82">
        <f>BD$74/Population!BL$89</f>
        <v>8.9779005524861885E-2</v>
      </c>
    </row>
    <row r="215" spans="1:56" x14ac:dyDescent="0.2">
      <c r="C215" s="28" t="s">
        <v>1165</v>
      </c>
      <c r="E215" s="82">
        <f>E$75/SUM(Population!M$90:M$100)</f>
        <v>3.9840637450199202E-2</v>
      </c>
      <c r="F215" s="82">
        <f>F$75/SUM(Population!N$90:N$100)</f>
        <v>4.1739468064453507E-2</v>
      </c>
      <c r="G215" s="82">
        <f>G$75/SUM(Population!O$90:O$100)</f>
        <v>4.3338986244582628E-2</v>
      </c>
      <c r="H215" s="82">
        <f>H$75/SUM(Population!P$90:P$100)</f>
        <v>4.4480755265068991E-2</v>
      </c>
      <c r="I215" s="82">
        <f>I$75/SUM(Population!Q$90:Q$100)</f>
        <v>4.602692140686062E-2</v>
      </c>
      <c r="J215" s="82">
        <f>J$75/SUM(Population!R$90:R$100)</f>
        <v>4.7397305837352403E-2</v>
      </c>
      <c r="K215" s="82">
        <f>K$75/SUM(Population!S$90:S$100)</f>
        <v>4.7707608959327241E-2</v>
      </c>
      <c r="L215" s="82">
        <f>L$75/SUM(Population!T$90:T$100)</f>
        <v>4.9027237354085602E-2</v>
      </c>
      <c r="M215" s="82">
        <f>M$75/SUM(Population!U$90:U$100)</f>
        <v>4.9992538427100434E-2</v>
      </c>
      <c r="N215" s="82">
        <f>N$75/SUM(Population!V$90:V$100)</f>
        <v>5.1340559041642898E-2</v>
      </c>
      <c r="O215" s="82">
        <f>O$75/SUM(Population!W$90:W$100)</f>
        <v>5.2310374891020049E-2</v>
      </c>
      <c r="P215" s="82">
        <f>P$75/SUM(Population!X$90:X$100)</f>
        <v>5.3292729349067376E-2</v>
      </c>
      <c r="Q215" s="82">
        <f>Q$75/SUM(Population!Y$90:Y$100)</f>
        <v>5.3711526855763428E-2</v>
      </c>
      <c r="R215" s="82">
        <f>R$75/SUM(Population!Z$90:Z$100)</f>
        <v>5.4094492720262413E-2</v>
      </c>
      <c r="S215" s="82">
        <f>S$75/SUM(Population!AA$90:AA$100)</f>
        <v>5.4560484982088729E-2</v>
      </c>
      <c r="T215" s="82">
        <f>T$75/SUM(Population!AB$90:AB$100)</f>
        <v>5.4974098741938891E-2</v>
      </c>
      <c r="U215" s="82">
        <f>U$75/SUM(Population!AC$90:AC$100)</f>
        <v>5.5372110744221485E-2</v>
      </c>
      <c r="V215" s="82">
        <f>V$75/SUM(Population!AD$90:AD$100)</f>
        <v>5.5590773882089044E-2</v>
      </c>
      <c r="W215" s="82">
        <f>W$75/SUM(Population!AE$90:AE$100)</f>
        <v>5.6256153016736206E-2</v>
      </c>
      <c r="X215" s="82">
        <f>X$75/SUM(Population!AF$90:AF$100)</f>
        <v>5.636470216891374E-2</v>
      </c>
      <c r="Y215" s="82">
        <f>Y$75/SUM(Population!AG$90:AG$100)</f>
        <v>5.6852703758354307E-2</v>
      </c>
      <c r="Z215" s="82">
        <f>Z$75/SUM(Population!AH$90:AH$100)</f>
        <v>5.691329092735186E-2</v>
      </c>
      <c r="AA215" s="82">
        <f>AA$75/SUM(Population!AI$90:AI$100)</f>
        <v>5.7258064516129033E-2</v>
      </c>
      <c r="AB215" s="82">
        <f>AB$75/SUM(Population!AJ$90:AJ$100)</f>
        <v>5.7589789485972216E-2</v>
      </c>
      <c r="AC215" s="82">
        <f>AC$75/SUM(Population!AK$90:AK$100)</f>
        <v>5.774278215223097E-2</v>
      </c>
      <c r="AD215" s="82">
        <f>AD$75/SUM(Population!AL$90:AL$100)</f>
        <v>5.787455689792375E-2</v>
      </c>
      <c r="AE215" s="82">
        <f>AE$75/SUM(Population!AM$90:AM$100)</f>
        <v>5.804601720400028E-2</v>
      </c>
      <c r="AF215" s="82">
        <f>AF$75/SUM(Population!AN$90:AN$100)</f>
        <v>5.8092132083163474E-2</v>
      </c>
      <c r="AG215" s="82">
        <f>AG$75/SUM(Population!AO$90:AO$100)</f>
        <v>5.7768924302788842E-2</v>
      </c>
      <c r="AH215" s="82">
        <f>AH$75/SUM(Population!AP$90:AP$100)</f>
        <v>5.7869241522806335E-2</v>
      </c>
      <c r="AI215" s="82">
        <f>AI$75/SUM(Population!AQ$90:AQ$100)</f>
        <v>5.7972861056252788E-2</v>
      </c>
      <c r="AJ215" s="82">
        <f>AJ$75/SUM(Population!AR$90:AR$100)</f>
        <v>5.779624480614827E-2</v>
      </c>
      <c r="AK215" s="82">
        <f>AK$75/SUM(Population!AS$90:AS$100)</f>
        <v>5.7909734350583691E-2</v>
      </c>
      <c r="AL215" s="82">
        <f>AL$75/SUM(Population!AT$90:AT$100)</f>
        <v>5.7777376545996205E-2</v>
      </c>
      <c r="AM215" s="82">
        <f>AM$75/SUM(Population!AU$90:AU$100)</f>
        <v>5.7837582625118039E-2</v>
      </c>
      <c r="AN215" s="82">
        <f>AN$75/SUM(Population!AV$90:AV$100)</f>
        <v>5.7758170314041908E-2</v>
      </c>
      <c r="AO215" s="82">
        <f>AO$75/SUM(Population!AW$90:AW$100)</f>
        <v>5.7606328098131376E-2</v>
      </c>
      <c r="AP215" s="82">
        <f>AP$75/SUM(Population!AX$90:AX$100)</f>
        <v>5.7662263882971167E-2</v>
      </c>
      <c r="AQ215" s="82">
        <f>AQ$75/SUM(Population!AY$90:AY$100)</f>
        <v>5.7365699268092804E-2</v>
      </c>
      <c r="AR215" s="82">
        <f>AR$75/SUM(Population!AZ$90:AZ$100)</f>
        <v>5.7300928670223274E-2</v>
      </c>
      <c r="AS215" s="82">
        <f>AS$75/SUM(Population!BA$90:BA$100)</f>
        <v>5.7236304170073589E-2</v>
      </c>
      <c r="AT215" s="82">
        <f>AT$75/SUM(Population!BB$90:BB$100)</f>
        <v>5.6962382268343582E-2</v>
      </c>
      <c r="AU215" s="82">
        <f>AU$75/SUM(Population!BC$90:BC$100)</f>
        <v>5.7107491490139814E-2</v>
      </c>
      <c r="AV215" s="82">
        <f>AV$75/SUM(Population!BD$90:BD$100)</f>
        <v>5.6982456140350878E-2</v>
      </c>
      <c r="AW215" s="82">
        <f>AW$75/SUM(Population!BE$90:BE$100)</f>
        <v>5.7070919009651701E-2</v>
      </c>
      <c r="AX215" s="82">
        <f>AX$75/SUM(Population!BF$90:BF$100)</f>
        <v>5.7039510294936008E-2</v>
      </c>
      <c r="AY215" s="82">
        <f>AY$75/SUM(Population!BG$90:BG$100)</f>
        <v>5.7172844279953595E-2</v>
      </c>
      <c r="AZ215" s="82">
        <f>AZ$75/SUM(Population!BH$90:BH$100)</f>
        <v>5.720855117291216E-2</v>
      </c>
      <c r="BA215" s="82">
        <f>BA$75/SUM(Population!BI$90:BI$100)</f>
        <v>5.735930735930736E-2</v>
      </c>
      <c r="BB215" s="82">
        <f>BB$75/SUM(Population!BJ$90:BJ$100)</f>
        <v>5.7422146252871106E-2</v>
      </c>
      <c r="BC215" s="82">
        <f>BC$75/SUM(Population!BK$90:BK$100)</f>
        <v>5.7586116224033659E-2</v>
      </c>
      <c r="BD215" s="82">
        <f>BD$75/SUM(Population!BL$90:BL$100)</f>
        <v>5.7717083225972687E-2</v>
      </c>
    </row>
    <row r="216" spans="1:56" x14ac:dyDescent="0.2">
      <c r="C216" s="72" t="s">
        <v>1166</v>
      </c>
      <c r="E216" s="83">
        <f>E$76/SUM(Population!M$25:M$100)</f>
        <v>0.63167314819979004</v>
      </c>
      <c r="F216" s="83">
        <f>F$76/SUM(Population!N$25:N$100)</f>
        <v>0.63285799760670125</v>
      </c>
      <c r="G216" s="83">
        <f>G$76/SUM(Population!O$25:O$100)</f>
        <v>0.63337099071663638</v>
      </c>
      <c r="H216" s="83">
        <f>H$76/SUM(Population!P$25:P$100)</f>
        <v>0.6334689365250995</v>
      </c>
      <c r="I216" s="83">
        <f>I$76/SUM(Population!Q$25:Q$100)</f>
        <v>0.63294488732509147</v>
      </c>
      <c r="J216" s="83">
        <f>J$76/SUM(Population!R$25:R$100)</f>
        <v>0.63174827630386399</v>
      </c>
      <c r="K216" s="83">
        <f>K$76/SUM(Population!S$25:S$100)</f>
        <v>0.63013518526344459</v>
      </c>
      <c r="L216" s="83">
        <f>L$76/SUM(Population!T$25:T$100)</f>
        <v>0.62861219955470649</v>
      </c>
      <c r="M216" s="83">
        <f>M$76/SUM(Population!U$25:U$100)</f>
        <v>0.62679185911708957</v>
      </c>
      <c r="N216" s="83">
        <f>N$76/SUM(Population!V$25:V$100)</f>
        <v>0.62505465874722155</v>
      </c>
      <c r="O216" s="83">
        <f>O$76/SUM(Population!W$25:W$100)</f>
        <v>0.62334796792722713</v>
      </c>
      <c r="P216" s="83">
        <f>P$76/SUM(Population!X$25:X$100)</f>
        <v>0.6216993323763913</v>
      </c>
      <c r="Q216" s="83">
        <f>Q$76/SUM(Population!Y$25:Y$100)</f>
        <v>0.62013737079917175</v>
      </c>
      <c r="R216" s="83">
        <f>R$76/SUM(Population!Z$25:Z$100)</f>
        <v>0.61854912844783227</v>
      </c>
      <c r="S216" s="83">
        <f>S$76/SUM(Population!AA$25:AA$100)</f>
        <v>0.61691904865808422</v>
      </c>
      <c r="T216" s="83">
        <f>T$76/SUM(Population!AB$25:AB$100)</f>
        <v>0.61519942150227547</v>
      </c>
      <c r="U216" s="83">
        <f>U$76/SUM(Population!AC$25:AC$100)</f>
        <v>0.61339107719804775</v>
      </c>
      <c r="V216" s="83">
        <f>V$76/SUM(Population!AD$25:AD$100)</f>
        <v>0.61151493189521033</v>
      </c>
      <c r="W216" s="83">
        <f>W$76/SUM(Population!AE$25:AE$100)</f>
        <v>0.60973896856623089</v>
      </c>
      <c r="X216" s="83">
        <f>X$76/SUM(Population!AF$25:AF$100)</f>
        <v>0.60794662501469576</v>
      </c>
      <c r="Y216" s="83">
        <f>Y$76/SUM(Population!AG$25:AG$100)</f>
        <v>0.60630196936542669</v>
      </c>
      <c r="Z216" s="83">
        <f>Z$76/SUM(Population!AH$25:AH$100)</f>
        <v>0.60470592130037704</v>
      </c>
      <c r="AA216" s="83">
        <f>AA$76/SUM(Population!AI$25:AI$100)</f>
        <v>0.60334127897419032</v>
      </c>
      <c r="AB216" s="83">
        <f>AB$76/SUM(Population!AJ$25:AJ$100)</f>
        <v>0.60210896739796038</v>
      </c>
      <c r="AC216" s="83">
        <f>AC$76/SUM(Population!AK$25:AK$100)</f>
        <v>0.60106117581200635</v>
      </c>
      <c r="AD216" s="83">
        <f>AD$76/SUM(Population!AL$25:AL$100)</f>
        <v>0.60010805057411942</v>
      </c>
      <c r="AE216" s="83">
        <f>AE$76/SUM(Population!AM$25:AM$100)</f>
        <v>0.59933383302536802</v>
      </c>
      <c r="AF216" s="83">
        <f>AF$76/SUM(Population!AN$25:AN$100)</f>
        <v>0.59867899182441831</v>
      </c>
      <c r="AG216" s="83">
        <f>AG$76/SUM(Population!AO$25:AO$100)</f>
        <v>0.59811075331926844</v>
      </c>
      <c r="AH216" s="83">
        <f>AH$76/SUM(Population!AP$25:AP$100)</f>
        <v>0.59761574037535714</v>
      </c>
      <c r="AI216" s="83">
        <f>AI$76/SUM(Population!AQ$25:AQ$100)</f>
        <v>0.59716864772289824</v>
      </c>
      <c r="AJ216" s="83">
        <f>AJ$76/SUM(Population!AR$25:AR$100)</f>
        <v>0.59661775288633023</v>
      </c>
      <c r="AK216" s="83">
        <f>AK$76/SUM(Population!AS$25:AS$100)</f>
        <v>0.59607766763394165</v>
      </c>
      <c r="AL216" s="83">
        <f>AL$76/SUM(Population!AT$25:AT$100)</f>
        <v>0.59536502467641306</v>
      </c>
      <c r="AM216" s="83">
        <f>AM$76/SUM(Population!AU$25:AU$100)</f>
        <v>0.59458080278962244</v>
      </c>
      <c r="AN216" s="83">
        <f>AN$76/SUM(Population!AV$25:AV$100)</f>
        <v>0.59361829990831549</v>
      </c>
      <c r="AO216" s="83">
        <f>AO$76/SUM(Population!AW$25:AW$100)</f>
        <v>0.59246531950593018</v>
      </c>
      <c r="AP216" s="83">
        <f>AP$76/SUM(Population!AX$25:AX$100)</f>
        <v>0.59118168214713529</v>
      </c>
      <c r="AQ216" s="83">
        <f>AQ$76/SUM(Population!AY$25:AY$100)</f>
        <v>0.58969223197628506</v>
      </c>
      <c r="AR216" s="83">
        <f>AR$76/SUM(Population!AZ$25:AZ$100)</f>
        <v>0.58808181769775525</v>
      </c>
      <c r="AS216" s="83">
        <f>AS$76/SUM(Population!BA$25:BA$100)</f>
        <v>0.58633202642136162</v>
      </c>
      <c r="AT216" s="83">
        <f>AT$76/SUM(Population!BB$25:BB$100)</f>
        <v>0.58447818295919374</v>
      </c>
      <c r="AU216" s="83">
        <f>AU$76/SUM(Population!BC$25:BC$100)</f>
        <v>0.58261216982269937</v>
      </c>
      <c r="AV216" s="83">
        <f>AV$76/SUM(Population!BD$25:BD$100)</f>
        <v>0.5807096526895702</v>
      </c>
      <c r="AW216" s="83">
        <f>AW$76/SUM(Population!BE$25:BE$100)</f>
        <v>0.57885724990633192</v>
      </c>
      <c r="AX216" s="83">
        <f>AX$76/SUM(Population!BF$25:BF$100)</f>
        <v>0.57705971347989315</v>
      </c>
      <c r="AY216" s="83">
        <f>AY$76/SUM(Population!BG$25:BG$100)</f>
        <v>0.5753907806674835</v>
      </c>
      <c r="AZ216" s="83">
        <f>AZ$76/SUM(Population!BH$25:BH$100)</f>
        <v>0.57383045007110689</v>
      </c>
      <c r="BA216" s="83">
        <f>BA$76/SUM(Population!BI$25:BI$100)</f>
        <v>0.5723688350725743</v>
      </c>
      <c r="BB216" s="83">
        <f>BB$76/SUM(Population!BJ$25:BJ$100)</f>
        <v>0.57102790632449862</v>
      </c>
      <c r="BC216" s="83">
        <f>BC$76/SUM(Population!BK$25:BK$100)</f>
        <v>0.56978938655384903</v>
      </c>
      <c r="BD216" s="83">
        <f>BD$76/SUM(Population!BL$25:BL$100)</f>
        <v>0.56861637757160144</v>
      </c>
    </row>
    <row r="217" spans="1:56" x14ac:dyDescent="0.2">
      <c r="C217" s="72"/>
    </row>
    <row r="218" spans="1:56" x14ac:dyDescent="0.2">
      <c r="A218" s="72" t="s">
        <v>1169</v>
      </c>
    </row>
    <row r="219" spans="1:56" x14ac:dyDescent="0.2">
      <c r="A219" s="72" t="s">
        <v>1171</v>
      </c>
      <c r="C219" s="72" t="s">
        <v>1164</v>
      </c>
    </row>
    <row r="220" spans="1:56" x14ac:dyDescent="0.2">
      <c r="C220" s="28">
        <v>15</v>
      </c>
      <c r="E220" s="82">
        <f>E$80/Population!M$125</f>
        <v>0.181517058628685</v>
      </c>
      <c r="F220" s="82">
        <f>F$80/Population!N$125</f>
        <v>0.17949557811988209</v>
      </c>
      <c r="G220" s="82">
        <f>G$80/Population!O$125</f>
        <v>0.17735728030788966</v>
      </c>
      <c r="H220" s="82">
        <f>H$80/Population!P$125</f>
        <v>0.17525773195876287</v>
      </c>
      <c r="I220" s="82">
        <f>I$80/Population!Q$125</f>
        <v>0.17362428842504743</v>
      </c>
      <c r="J220" s="82">
        <f>J$80/Population!R$125</f>
        <v>0.172020414290003</v>
      </c>
      <c r="K220" s="82">
        <f>K$80/Population!S$125</f>
        <v>0.17037250938492637</v>
      </c>
      <c r="L220" s="82">
        <f>L$80/Population!T$125</f>
        <v>0.16880891173950299</v>
      </c>
      <c r="M220" s="82">
        <f>M$80/Population!U$125</f>
        <v>0.16737709576584256</v>
      </c>
      <c r="N220" s="82">
        <f>N$80/Population!V$125</f>
        <v>0.16599073001158748</v>
      </c>
      <c r="O220" s="82">
        <f>O$80/Population!W$125</f>
        <v>0.16480611045828436</v>
      </c>
      <c r="P220" s="82">
        <f>P$80/Population!X$125</f>
        <v>0.16365253483545805</v>
      </c>
      <c r="Q220" s="82">
        <f>Q$80/Population!Y$125</f>
        <v>0.16262870987280437</v>
      </c>
      <c r="R220" s="82">
        <f>R$80/Population!Z$125</f>
        <v>0.16185848770118433</v>
      </c>
      <c r="S220" s="82">
        <f>S$80/Population!AA$125</f>
        <v>0.16096518020769701</v>
      </c>
      <c r="T220" s="82">
        <f>T$80/Population!AB$125</f>
        <v>0.16003616636528029</v>
      </c>
      <c r="U220" s="82">
        <f>U$80/Population!AC$125</f>
        <v>0.1591715976331361</v>
      </c>
      <c r="V220" s="82">
        <f>V$80/Population!AD$125</f>
        <v>0.15866084425036389</v>
      </c>
      <c r="W220" s="82">
        <f>W$80/Population!AE$125</f>
        <v>0.15795519816197587</v>
      </c>
      <c r="X220" s="82">
        <f>X$80/Population!AF$125</f>
        <v>0.15743108837737993</v>
      </c>
      <c r="Y220" s="82">
        <f>Y$80/Population!AG$125</f>
        <v>0.15688487584650113</v>
      </c>
      <c r="Z220" s="82">
        <f>Z$80/Population!AH$125</f>
        <v>0.15622365833099186</v>
      </c>
      <c r="AA220" s="82">
        <f>AA$80/Population!AI$125</f>
        <v>0.15591699383062255</v>
      </c>
      <c r="AB220" s="82">
        <f>AB$80/Population!AJ$125</f>
        <v>0.15535614133482895</v>
      </c>
      <c r="AC220" s="82">
        <f>AC$80/Population!AK$125</f>
        <v>0.15505617977528091</v>
      </c>
      <c r="AD220" s="82">
        <f>AD$80/Population!AL$125</f>
        <v>0.15469146238377007</v>
      </c>
      <c r="AE220" s="82">
        <f>AE$80/Population!AM$125</f>
        <v>0.15458663646659115</v>
      </c>
      <c r="AF220" s="82">
        <f>AF$80/Population!AN$125</f>
        <v>0.15432801822323464</v>
      </c>
      <c r="AG220" s="82">
        <f>AG$80/Population!AO$125</f>
        <v>0.15391229578675839</v>
      </c>
      <c r="AH220" s="82">
        <f>AH$80/Population!AP$125</f>
        <v>0.15386836027713627</v>
      </c>
      <c r="AI220" s="82">
        <f>AI$80/Population!AQ$125</f>
        <v>0.15377906976744185</v>
      </c>
      <c r="AJ220" s="82">
        <f>AJ$80/Population!AR$125</f>
        <v>0.15359859566998244</v>
      </c>
      <c r="AK220" s="82">
        <f>AK$80/Population!AS$125</f>
        <v>0.15328037658134747</v>
      </c>
      <c r="AL220" s="82">
        <f>AL$80/Population!AT$125</f>
        <v>0.15336879432624115</v>
      </c>
      <c r="AM220" s="82">
        <f>AM$80/Population!AU$125</f>
        <v>0.15318518518518517</v>
      </c>
      <c r="AN220" s="82">
        <f>AN$80/Population!AV$125</f>
        <v>0.15307030554731535</v>
      </c>
      <c r="AO220" s="82">
        <f>AO$80/Population!AW$125</f>
        <v>0.15307030554731535</v>
      </c>
      <c r="AP220" s="82">
        <f>AP$80/Population!AX$125</f>
        <v>0.15284360189573459</v>
      </c>
      <c r="AQ220" s="82">
        <f>AQ$80/Population!AY$125</f>
        <v>0.15277777777777779</v>
      </c>
      <c r="AR220" s="82">
        <f>AR$80/Population!AZ$125</f>
        <v>0.15296198054818744</v>
      </c>
      <c r="AS220" s="82">
        <f>AS$80/Population!BA$125</f>
        <v>0.15280634734058185</v>
      </c>
      <c r="AT220" s="82">
        <f>AT$80/Population!BB$125</f>
        <v>0.15289982425307558</v>
      </c>
      <c r="AU220" s="82">
        <f>AU$80/Population!BC$125</f>
        <v>0.15274532710280375</v>
      </c>
      <c r="AV220" s="82">
        <f>AV$80/Population!BD$125</f>
        <v>0.15288293535235878</v>
      </c>
      <c r="AW220" s="82">
        <f>AW$80/Population!BE$125</f>
        <v>0.15277374382805692</v>
      </c>
      <c r="AX220" s="82">
        <f>AX$80/Population!BF$125</f>
        <v>0.15270935960591134</v>
      </c>
      <c r="AY220" s="82">
        <f>AY$80/Population!BG$125</f>
        <v>0.15289017341040462</v>
      </c>
      <c r="AZ220" s="82">
        <f>AZ$80/Population!BH$125</f>
        <v>0.15282583621683968</v>
      </c>
      <c r="BA220" s="82">
        <f>BA$80/Population!BI$125</f>
        <v>0.15276179516685845</v>
      </c>
      <c r="BB220" s="82">
        <f>BB$80/Population!BJ$125</f>
        <v>0.15269804822043628</v>
      </c>
      <c r="BC220" s="82">
        <f>BC$80/Population!BK$125</f>
        <v>0.15292096219931273</v>
      </c>
      <c r="BD220" s="82">
        <f>BD$80/Population!BL$125</f>
        <v>0.15290082880823092</v>
      </c>
    </row>
    <row r="221" spans="1:56" x14ac:dyDescent="0.2">
      <c r="C221" s="28">
        <v>16</v>
      </c>
      <c r="E221" s="82">
        <f>E$81/Population!M$126</f>
        <v>0.35638297872340424</v>
      </c>
      <c r="F221" s="82">
        <f>F$81/Population!N$126</f>
        <v>0.35945151811949072</v>
      </c>
      <c r="G221" s="82">
        <f>G$81/Population!O$126</f>
        <v>0.36231415643180348</v>
      </c>
      <c r="H221" s="82">
        <f>H$81/Population!P$126</f>
        <v>0.36513470681458005</v>
      </c>
      <c r="I221" s="82">
        <f>I$81/Population!Q$126</f>
        <v>0.36775015933715743</v>
      </c>
      <c r="J221" s="82">
        <f>J$81/Population!R$126</f>
        <v>0.37018477920450987</v>
      </c>
      <c r="K221" s="82">
        <f>K$81/Population!S$126</f>
        <v>0.3725081820886641</v>
      </c>
      <c r="L221" s="82">
        <f>L$81/Population!T$126</f>
        <v>0.37446321213856282</v>
      </c>
      <c r="M221" s="82">
        <f>M$81/Population!U$126</f>
        <v>0.37666383460775982</v>
      </c>
      <c r="N221" s="82">
        <f>N$81/Population!V$126</f>
        <v>0.3783098591549296</v>
      </c>
      <c r="O221" s="82">
        <f>O$81/Population!W$126</f>
        <v>0.38024124066628373</v>
      </c>
      <c r="P221" s="82">
        <f>P$81/Population!X$126</f>
        <v>0.38165938864628823</v>
      </c>
      <c r="Q221" s="82">
        <f>Q$81/Population!Y$126</f>
        <v>0.38319130179253602</v>
      </c>
      <c r="R221" s="82">
        <f>R$81/Population!Z$126</f>
        <v>0.38475390156062422</v>
      </c>
      <c r="S221" s="82">
        <f>S$81/Population!AA$126</f>
        <v>0.38598074608904936</v>
      </c>
      <c r="T221" s="82">
        <f>T$81/Population!AB$126</f>
        <v>0.38698940998487141</v>
      </c>
      <c r="U221" s="82">
        <f>U$81/Population!AC$126</f>
        <v>0.38817557479844728</v>
      </c>
      <c r="V221" s="82">
        <f>V$81/Population!AD$126</f>
        <v>0.38903547346819117</v>
      </c>
      <c r="W221" s="82">
        <f>W$81/Population!AE$126</f>
        <v>0.39007501442585113</v>
      </c>
      <c r="X221" s="82">
        <f>X$81/Population!AF$126</f>
        <v>0.39083404497580415</v>
      </c>
      <c r="Y221" s="82">
        <f>Y$81/Population!AG$126</f>
        <v>0.39154929577464787</v>
      </c>
      <c r="Z221" s="82">
        <f>Z$81/Population!AH$126</f>
        <v>0.39244755244755247</v>
      </c>
      <c r="AA221" s="82">
        <f>AA$81/Population!AI$126</f>
        <v>0.39314572304263024</v>
      </c>
      <c r="AB221" s="82">
        <f>AB$81/Population!AJ$126</f>
        <v>0.39366138448707255</v>
      </c>
      <c r="AC221" s="82">
        <f>AC$81/Population!AK$126</f>
        <v>0.39421740339171529</v>
      </c>
      <c r="AD221" s="82">
        <f>AD$81/Population!AL$126</f>
        <v>0.39459760512392089</v>
      </c>
      <c r="AE221" s="82">
        <f>AE$81/Population!AM$126</f>
        <v>0.39508242525845211</v>
      </c>
      <c r="AF221" s="82">
        <f>AF$81/Population!AN$126</f>
        <v>0.39517260735335391</v>
      </c>
      <c r="AG221" s="82">
        <f>AG$81/Population!AO$126</f>
        <v>0.39570985040925771</v>
      </c>
      <c r="AH221" s="82">
        <f>AH$81/Population!AP$126</f>
        <v>0.39573863636363638</v>
      </c>
      <c r="AI221" s="82">
        <f>AI$81/Population!AQ$126</f>
        <v>0.39628040057224606</v>
      </c>
      <c r="AJ221" s="82">
        <f>AJ$81/Population!AR$126</f>
        <v>0.39642754249495821</v>
      </c>
      <c r="AK221" s="82">
        <f>AK$81/Population!AS$126</f>
        <v>0.39663670629167874</v>
      </c>
      <c r="AL221" s="82">
        <f>AL$81/Population!AT$126</f>
        <v>0.39679300291545189</v>
      </c>
      <c r="AM221" s="82">
        <f>AM$81/Population!AU$126</f>
        <v>0.39677891654465591</v>
      </c>
      <c r="AN221" s="82">
        <f>AN$81/Population!AV$126</f>
        <v>0.39694656488549618</v>
      </c>
      <c r="AO221" s="82">
        <f>AO$81/Population!AW$126</f>
        <v>0.39711934156378603</v>
      </c>
      <c r="AP221" s="82">
        <f>AP$81/Population!AX$126</f>
        <v>0.39711934156378603</v>
      </c>
      <c r="AQ221" s="82">
        <f>AQ$81/Population!AY$126</f>
        <v>0.39712356912239505</v>
      </c>
      <c r="AR221" s="82">
        <f>AR$81/Population!AZ$126</f>
        <v>0.39707174231332359</v>
      </c>
      <c r="AS221" s="82">
        <f>AS$81/Population!BA$126</f>
        <v>0.39719626168224298</v>
      </c>
      <c r="AT221" s="82">
        <f>AT$81/Population!BB$126</f>
        <v>0.39720442632498543</v>
      </c>
      <c r="AU221" s="82">
        <f>AU$81/Population!BC$126</f>
        <v>0.39738751814223511</v>
      </c>
      <c r="AV221" s="82">
        <f>AV$81/Population!BD$126</f>
        <v>0.39739507959479015</v>
      </c>
      <c r="AW221" s="82">
        <f>AW$81/Population!BE$126</f>
        <v>0.39740259740259742</v>
      </c>
      <c r="AX221" s="82">
        <f>AX$81/Population!BF$126</f>
        <v>0.39723661485319517</v>
      </c>
      <c r="AY221" s="82">
        <f>AY$81/Population!BG$126</f>
        <v>0.3973585989089865</v>
      </c>
      <c r="AZ221" s="82">
        <f>AZ$81/Population!BH$126</f>
        <v>0.39730736178745346</v>
      </c>
      <c r="BA221" s="82">
        <f>BA$81/Population!BI$126</f>
        <v>0.39725635895970279</v>
      </c>
      <c r="BB221" s="82">
        <f>BB$81/Population!BJ$126</f>
        <v>0.39749073282007413</v>
      </c>
      <c r="BC221" s="82">
        <f>BC$81/Population!BK$126</f>
        <v>0.39743954480796584</v>
      </c>
      <c r="BD221" s="82">
        <f>BD$81/Population!BL$126</f>
        <v>0.39738858927050807</v>
      </c>
    </row>
    <row r="222" spans="1:56" x14ac:dyDescent="0.2">
      <c r="C222" s="28">
        <v>17</v>
      </c>
      <c r="E222" s="82">
        <f>E$82/Population!M$127</f>
        <v>0.46429647484181985</v>
      </c>
      <c r="F222" s="82">
        <f>F$82/Population!N$127</f>
        <v>0.46621413144091328</v>
      </c>
      <c r="G222" s="82">
        <f>G$82/Population!O$127</f>
        <v>0.46827697262479873</v>
      </c>
      <c r="H222" s="82">
        <f>H$82/Population!P$127</f>
        <v>0.46998722860791825</v>
      </c>
      <c r="I222" s="82">
        <f>I$82/Population!Q$127</f>
        <v>0.47193477579178428</v>
      </c>
      <c r="J222" s="82">
        <f>J$82/Population!R$127</f>
        <v>0.47348484848484851</v>
      </c>
      <c r="K222" s="82">
        <f>K$82/Population!S$127</f>
        <v>0.47502327024511326</v>
      </c>
      <c r="L222" s="82">
        <f>L$82/Population!T$127</f>
        <v>0.47612028301886794</v>
      </c>
      <c r="M222" s="82">
        <f>M$82/Population!U$127</f>
        <v>0.47758229284903519</v>
      </c>
      <c r="N222" s="82">
        <f>N$82/Population!V$127</f>
        <v>0.47866367209432903</v>
      </c>
      <c r="O222" s="82">
        <f>O$82/Population!W$127</f>
        <v>0.4798882681564246</v>
      </c>
      <c r="P222" s="82">
        <f>P$82/Population!X$127</f>
        <v>0.4810703102761173</v>
      </c>
      <c r="Q222" s="82">
        <f>Q$82/Population!Y$127</f>
        <v>0.48196248196248198</v>
      </c>
      <c r="R222" s="82">
        <f>R$82/Population!Z$127</f>
        <v>0.48281887012230634</v>
      </c>
      <c r="S222" s="82">
        <f>S$82/Population!AA$127</f>
        <v>0.48379423134106453</v>
      </c>
      <c r="T222" s="82">
        <f>T$82/Population!AB$127</f>
        <v>0.48449612403100772</v>
      </c>
      <c r="U222" s="82">
        <f>U$82/Population!AC$127</f>
        <v>0.48531175059952036</v>
      </c>
      <c r="V222" s="82">
        <f>V$82/Population!AD$127</f>
        <v>0.48579881656804735</v>
      </c>
      <c r="W222" s="82">
        <f>W$82/Population!AE$127</f>
        <v>0.48648648648648651</v>
      </c>
      <c r="X222" s="82">
        <f>X$82/Population!AF$127</f>
        <v>0.48712814645308927</v>
      </c>
      <c r="Y222" s="82">
        <f>Y$82/Population!AG$127</f>
        <v>0.48758465011286684</v>
      </c>
      <c r="Z222" s="82">
        <f>Z$82/Population!AH$127</f>
        <v>0.48813180675788886</v>
      </c>
      <c r="AA222" s="82">
        <f>AA$82/Population!AI$127</f>
        <v>0.4884882108183079</v>
      </c>
      <c r="AB222" s="82">
        <f>AB$82/Population!AJ$127</f>
        <v>0.4889502762430939</v>
      </c>
      <c r="AC222" s="82">
        <f>AC$82/Population!AK$127</f>
        <v>0.48925027563395812</v>
      </c>
      <c r="AD222" s="82">
        <f>AD$82/Population!AL$127</f>
        <v>0.48952590959206171</v>
      </c>
      <c r="AE222" s="82">
        <f>AE$82/Population!AM$127</f>
        <v>0.48978464936499172</v>
      </c>
      <c r="AF222" s="82">
        <f>AF$82/Population!AN$127</f>
        <v>0.49002770083102493</v>
      </c>
      <c r="AG222" s="82">
        <f>AG$82/Population!AO$127</f>
        <v>0.49026154702281582</v>
      </c>
      <c r="AH222" s="82">
        <f>AH$82/Population!AP$127</f>
        <v>0.49034424853064651</v>
      </c>
      <c r="AI222" s="82">
        <f>AI$82/Population!AQ$127</f>
        <v>0.49070422535211267</v>
      </c>
      <c r="AJ222" s="82">
        <f>AJ$82/Population!AR$127</f>
        <v>0.49064095292115711</v>
      </c>
      <c r="AK222" s="82">
        <f>AK$82/Population!AS$127</f>
        <v>0.490862364363221</v>
      </c>
      <c r="AL222" s="82">
        <f>AL$82/Population!AT$127</f>
        <v>0.49080459770114943</v>
      </c>
      <c r="AM222" s="82">
        <f>AM$82/Population!AU$127</f>
        <v>0.49089858422421268</v>
      </c>
      <c r="AN222" s="82">
        <f>AN$82/Population!AV$127</f>
        <v>0.4910040626813697</v>
      </c>
      <c r="AO222" s="82">
        <f>AO$82/Population!AW$127</f>
        <v>0.49112598196101254</v>
      </c>
      <c r="AP222" s="82">
        <f>AP$82/Population!AX$127</f>
        <v>0.49111564229536847</v>
      </c>
      <c r="AQ222" s="82">
        <f>AQ$82/Population!AY$127</f>
        <v>0.49140693271191377</v>
      </c>
      <c r="AR222" s="82">
        <f>AR$82/Population!AZ$127</f>
        <v>0.49127399650959858</v>
      </c>
      <c r="AS222" s="82">
        <f>AS$82/Population!BA$127</f>
        <v>0.49129425420777711</v>
      </c>
      <c r="AT222" s="82">
        <f>AT$82/Population!BB$127</f>
        <v>0.49146164978292328</v>
      </c>
      <c r="AU222" s="82">
        <f>AU$82/Population!BC$127</f>
        <v>0.49148629148629147</v>
      </c>
      <c r="AV222" s="82">
        <f>AV$82/Population!BD$127</f>
        <v>0.49136939010356734</v>
      </c>
      <c r="AW222" s="82">
        <f>AW$82/Population!BE$127</f>
        <v>0.49139414802065406</v>
      </c>
      <c r="AX222" s="82">
        <f>AX$82/Population!BF$127</f>
        <v>0.4914187643020595</v>
      </c>
      <c r="AY222" s="82">
        <f>AY$82/Population!BG$127</f>
        <v>0.49129814550641943</v>
      </c>
      <c r="AZ222" s="82">
        <f>AZ$82/Population!BH$127</f>
        <v>0.4914627205463859</v>
      </c>
      <c r="BA222" s="82">
        <f>BA$82/Population!BI$127</f>
        <v>0.49148211243611584</v>
      </c>
      <c r="BB222" s="82">
        <f>BB$82/Population!BJ$127</f>
        <v>0.49150141643059492</v>
      </c>
      <c r="BC222" s="82">
        <f>BC$82/Population!BK$127</f>
        <v>0.49152063312605992</v>
      </c>
      <c r="BD222" s="82">
        <f>BD$82/Population!BL$127</f>
        <v>0.49153976311336717</v>
      </c>
    </row>
    <row r="223" spans="1:56" x14ac:dyDescent="0.2">
      <c r="C223" s="28">
        <v>18</v>
      </c>
      <c r="E223" s="82">
        <f>E$83/Population!M$128</f>
        <v>0.55835101545923005</v>
      </c>
      <c r="F223" s="82">
        <f>F$83/Population!N$128</f>
        <v>0.55964653902798234</v>
      </c>
      <c r="G223" s="82">
        <f>G$83/Population!O$128</f>
        <v>0.5608945300695074</v>
      </c>
      <c r="H223" s="82">
        <f>H$83/Population!P$128</f>
        <v>0.56194690265486724</v>
      </c>
      <c r="I223" s="82">
        <f>I$83/Population!Q$128</f>
        <v>0.56299088909833495</v>
      </c>
      <c r="J223" s="82">
        <f>J$83/Population!R$128</f>
        <v>0.56422160321881776</v>
      </c>
      <c r="K223" s="82">
        <f>K$83/Population!S$128</f>
        <v>0.56493304266583622</v>
      </c>
      <c r="L223" s="82">
        <f>L$83/Population!T$128</f>
        <v>0.5660030627871363</v>
      </c>
      <c r="M223" s="82">
        <f>M$83/Population!U$128</f>
        <v>0.56668608037274315</v>
      </c>
      <c r="N223" s="82">
        <f>N$83/Population!V$128</f>
        <v>0.56730229949523281</v>
      </c>
      <c r="O223" s="82">
        <f>O$83/Population!W$128</f>
        <v>0.56798002219755828</v>
      </c>
      <c r="P223" s="82">
        <f>P$83/Population!X$128</f>
        <v>0.56874654886802867</v>
      </c>
      <c r="Q223" s="82">
        <f>Q$83/Population!Y$128</f>
        <v>0.56933895921237698</v>
      </c>
      <c r="R223" s="82">
        <f>R$83/Population!Z$128</f>
        <v>0.5700028514399772</v>
      </c>
      <c r="S223" s="82">
        <f>S$83/Population!AA$128</f>
        <v>0.57048331415420028</v>
      </c>
      <c r="T223" s="82">
        <f>T$83/Population!AB$128</f>
        <v>0.57092511013215863</v>
      </c>
      <c r="U223" s="82">
        <f>U$83/Population!AC$128</f>
        <v>0.57138651751545477</v>
      </c>
      <c r="V223" s="82">
        <f>V$83/Population!AD$128</f>
        <v>0.5719360568383659</v>
      </c>
      <c r="W223" s="82">
        <f>W$83/Population!AE$128</f>
        <v>0.57218001168907073</v>
      </c>
      <c r="X223" s="82">
        <f>X$83/Population!AF$128</f>
        <v>0.572617680826636</v>
      </c>
      <c r="Y223" s="82">
        <f>Y$83/Population!AG$128</f>
        <v>0.57276066685504379</v>
      </c>
      <c r="Z223" s="82">
        <f>Z$83/Population!AH$128</f>
        <v>0.57306190741773566</v>
      </c>
      <c r="AA223" s="82">
        <f>AA$83/Population!AI$128</f>
        <v>0.57328181065415407</v>
      </c>
      <c r="AB223" s="82">
        <f>AB$83/Population!AJ$128</f>
        <v>0.57373903508771928</v>
      </c>
      <c r="AC223" s="82">
        <f>AC$83/Population!AK$128</f>
        <v>0.57384657384657389</v>
      </c>
      <c r="AD223" s="82">
        <f>AD$83/Population!AL$128</f>
        <v>0.57411444141689372</v>
      </c>
      <c r="AE223" s="82">
        <f>AE$83/Population!AM$128</f>
        <v>0.57423045491691638</v>
      </c>
      <c r="AF223" s="82">
        <f>AF$83/Population!AN$128</f>
        <v>0.57450873362445409</v>
      </c>
      <c r="AG223" s="82">
        <f>AG$83/Population!AO$128</f>
        <v>0.57432247467834652</v>
      </c>
      <c r="AH223" s="82">
        <f>AH$83/Population!AP$128</f>
        <v>0.57453245324532454</v>
      </c>
      <c r="AI223" s="82">
        <f>AI$83/Population!AQ$128</f>
        <v>0.57466814159292035</v>
      </c>
      <c r="AJ223" s="82">
        <f>AJ$83/Population!AR$128</f>
        <v>0.57472863902031723</v>
      </c>
      <c r="AK223" s="82">
        <f>AK$83/Population!AS$128</f>
        <v>0.57467077612776685</v>
      </c>
      <c r="AL223" s="82">
        <f>AL$83/Population!AT$128</f>
        <v>0.57489421720733425</v>
      </c>
      <c r="AM223" s="82">
        <f>AM$83/Population!AU$128</f>
        <v>0.57479420948055637</v>
      </c>
      <c r="AN223" s="82">
        <f>AN$83/Population!AV$128</f>
        <v>0.57505707762557079</v>
      </c>
      <c r="AO223" s="82">
        <f>AO$83/Population!AW$128</f>
        <v>0.57494984236170821</v>
      </c>
      <c r="AP223" s="82">
        <f>AP$83/Population!AX$128</f>
        <v>0.57499999999999996</v>
      </c>
      <c r="AQ223" s="82">
        <f>AQ$83/Population!AY$128</f>
        <v>0.57508630609896427</v>
      </c>
      <c r="AR223" s="82">
        <f>AR$83/Population!AZ$128</f>
        <v>0.57508630609896427</v>
      </c>
      <c r="AS223" s="82">
        <f>AS$83/Population!BA$128</f>
        <v>0.57512209135305947</v>
      </c>
      <c r="AT223" s="82">
        <f>AT$83/Population!BB$128</f>
        <v>0.57523645743766127</v>
      </c>
      <c r="AU223" s="82">
        <f>AU$83/Population!BC$128</f>
        <v>0.57518582046883937</v>
      </c>
      <c r="AV223" s="82">
        <f>AV$83/Population!BD$128</f>
        <v>0.57509261897976627</v>
      </c>
      <c r="AW223" s="82">
        <f>AW$83/Population!BE$128</f>
        <v>0.57516339869281041</v>
      </c>
      <c r="AX223" s="82">
        <f>AX$83/Population!BF$128</f>
        <v>0.57523377727401526</v>
      </c>
      <c r="AY223" s="82">
        <f>AY$83/Population!BG$128</f>
        <v>0.57502119242723937</v>
      </c>
      <c r="AZ223" s="82">
        <f>AZ$83/Population!BH$128</f>
        <v>0.5752536640360767</v>
      </c>
      <c r="BA223" s="82">
        <f>BA$83/Population!BI$128</f>
        <v>0.57520382344672472</v>
      </c>
      <c r="BB223" s="82">
        <f>BB$83/Population!BJ$128</f>
        <v>0.57531556802244044</v>
      </c>
      <c r="BC223" s="82">
        <f>BC$83/Population!BK$128</f>
        <v>0.57514693534844663</v>
      </c>
      <c r="BD223" s="82">
        <f>BD$83/Population!BL$128</f>
        <v>0.57509771077610272</v>
      </c>
    </row>
    <row r="224" spans="1:56" x14ac:dyDescent="0.2">
      <c r="C224" s="28">
        <v>19</v>
      </c>
      <c r="E224" s="82">
        <f>E$84/Population!M$129</f>
        <v>0.64002316825948447</v>
      </c>
      <c r="F224" s="82">
        <f>F$84/Population!N$129</f>
        <v>0.6410406313943291</v>
      </c>
      <c r="G224" s="82">
        <f>G$84/Population!O$129</f>
        <v>0.64134780125642488</v>
      </c>
      <c r="H224" s="82">
        <f>H$84/Population!P$129</f>
        <v>0.64224771991762286</v>
      </c>
      <c r="I224" s="82">
        <f>I$84/Population!Q$129</f>
        <v>0.64268066707844351</v>
      </c>
      <c r="J224" s="82">
        <f>J$84/Population!R$129</f>
        <v>0.64340845940104974</v>
      </c>
      <c r="K224" s="82">
        <f>K$84/Population!S$129</f>
        <v>0.6441605839416058</v>
      </c>
      <c r="L224" s="82">
        <f>L$84/Population!T$129</f>
        <v>0.64462809917355368</v>
      </c>
      <c r="M224" s="82">
        <f>M$84/Population!U$129</f>
        <v>0.64509331727874775</v>
      </c>
      <c r="N224" s="82">
        <f>N$84/Population!V$129</f>
        <v>0.64555873925501428</v>
      </c>
      <c r="O224" s="82">
        <f>O$84/Population!W$129</f>
        <v>0.64605190502484811</v>
      </c>
      <c r="P224" s="82">
        <f>P$84/Population!X$129</f>
        <v>0.64644808743169402</v>
      </c>
      <c r="Q224" s="82">
        <f>Q$84/Population!Y$129</f>
        <v>0.64664310954063609</v>
      </c>
      <c r="R224" s="82">
        <f>R$84/Population!Z$129</f>
        <v>0.64718914428136254</v>
      </c>
      <c r="S224" s="82">
        <f>S$84/Population!AA$129</f>
        <v>0.64730639730639727</v>
      </c>
      <c r="T224" s="82">
        <f>T$84/Population!AB$129</f>
        <v>0.64760826493065382</v>
      </c>
      <c r="U224" s="82">
        <f>U$84/Population!AC$129</f>
        <v>0.64789139225880998</v>
      </c>
      <c r="V224" s="82">
        <f>V$84/Population!AD$129</f>
        <v>0.64823393167342214</v>
      </c>
      <c r="W224" s="82">
        <f>W$84/Population!AE$129</f>
        <v>0.64832605531295484</v>
      </c>
      <c r="X224" s="82">
        <f>X$84/Population!AF$129</f>
        <v>0.64874964070135099</v>
      </c>
      <c r="Y224" s="82">
        <f>Y$84/Population!AG$129</f>
        <v>0.64868681163513131</v>
      </c>
      <c r="Z224" s="82">
        <f>Z$84/Population!AH$129</f>
        <v>0.64905450500556172</v>
      </c>
      <c r="AA224" s="82">
        <f>AA$84/Population!AI$129</f>
        <v>0.64919022783420255</v>
      </c>
      <c r="AB224" s="82">
        <f>AB$84/Population!AJ$129</f>
        <v>0.64918478260869561</v>
      </c>
      <c r="AC224" s="82">
        <f>AC$84/Population!AK$129</f>
        <v>0.64939271255060727</v>
      </c>
      <c r="AD224" s="82">
        <f>AD$84/Population!AL$129</f>
        <v>0.64946236559139781</v>
      </c>
      <c r="AE224" s="82">
        <f>AE$84/Population!AM$129</f>
        <v>0.64958411591092036</v>
      </c>
      <c r="AF224" s="82">
        <f>AF$84/Population!AN$129</f>
        <v>0.64967811158798283</v>
      </c>
      <c r="AG224" s="82">
        <f>AG$84/Population!AO$129</f>
        <v>0.64965072541644275</v>
      </c>
      <c r="AH224" s="82">
        <f>AH$84/Population!AP$129</f>
        <v>0.64986522911051214</v>
      </c>
      <c r="AI224" s="82">
        <f>AI$84/Population!AQ$129</f>
        <v>0.64997292907417437</v>
      </c>
      <c r="AJ224" s="82">
        <f>AJ$84/Population!AR$129</f>
        <v>0.65014974135583992</v>
      </c>
      <c r="AK224" s="82">
        <f>AK$84/Population!AS$129</f>
        <v>0.6499589153656532</v>
      </c>
      <c r="AL224" s="82">
        <f>AL$84/Population!AT$129</f>
        <v>0.65002757859900717</v>
      </c>
      <c r="AM224" s="82">
        <f>AM$84/Population!AU$129</f>
        <v>0.65019433647973346</v>
      </c>
      <c r="AN224" s="82">
        <f>AN$84/Population!AV$129</f>
        <v>0.65</v>
      </c>
      <c r="AO224" s="82">
        <f>AO$84/Population!AW$129</f>
        <v>0.65009828699803429</v>
      </c>
      <c r="AP224" s="82">
        <f>AP$84/Population!AX$129</f>
        <v>0.65012686777558504</v>
      </c>
      <c r="AQ224" s="82">
        <f>AQ$84/Population!AY$129</f>
        <v>0.65026858919988695</v>
      </c>
      <c r="AR224" s="82">
        <f>AR$84/Population!AZ$129</f>
        <v>0.65015567506368521</v>
      </c>
      <c r="AS224" s="82">
        <f>AS$84/Population!BA$129</f>
        <v>0.65025466893039052</v>
      </c>
      <c r="AT224" s="82">
        <f>AT$84/Population!BB$129</f>
        <v>0.65018366770274094</v>
      </c>
      <c r="AU224" s="82">
        <f>AU$84/Population!BC$129</f>
        <v>0.65031020868584322</v>
      </c>
      <c r="AV224" s="82">
        <f>AV$84/Population!BD$129</f>
        <v>0.65016872890888644</v>
      </c>
      <c r="AW224" s="82">
        <f>AW$84/Population!BE$129</f>
        <v>0.65030846887268645</v>
      </c>
      <c r="AX224" s="82">
        <f>AX$84/Population!BF$129</f>
        <v>0.65026558568632931</v>
      </c>
      <c r="AY224" s="82">
        <f>AY$84/Population!BG$129</f>
        <v>0.65012545302481184</v>
      </c>
      <c r="AZ224" s="82">
        <f>AZ$84/Population!BH$129</f>
        <v>0.65026410897970532</v>
      </c>
      <c r="BA224" s="82">
        <f>BA$84/Population!BI$129</f>
        <v>0.65030504714364945</v>
      </c>
      <c r="BB224" s="82">
        <f>BB$84/Population!BJ$129</f>
        <v>0.65006915629322271</v>
      </c>
      <c r="BC224" s="82">
        <f>BC$84/Population!BK$129</f>
        <v>0.65028981507038364</v>
      </c>
      <c r="BD224" s="82">
        <f>BD$84/Population!BL$129</f>
        <v>0.65023409529055354</v>
      </c>
    </row>
    <row r="225" spans="3:56" x14ac:dyDescent="0.2">
      <c r="C225" s="28">
        <v>20</v>
      </c>
      <c r="E225" s="82">
        <f>E$85/Population!M$130</f>
        <v>0.7103429049344856</v>
      </c>
      <c r="F225" s="82">
        <f>F$85/Population!N$130</f>
        <v>0.71081307627829005</v>
      </c>
      <c r="G225" s="82">
        <f>G$85/Population!O$130</f>
        <v>0.71116780045351469</v>
      </c>
      <c r="H225" s="82">
        <f>H$85/Population!P$130</f>
        <v>0.71181716833890751</v>
      </c>
      <c r="I225" s="82">
        <f>I$85/Population!Q$130</f>
        <v>0.71226551226551227</v>
      </c>
      <c r="J225" s="82">
        <f>J$85/Population!R$130</f>
        <v>0.71254567600487206</v>
      </c>
      <c r="K225" s="82">
        <f>K$85/Population!S$130</f>
        <v>0.71302495435179547</v>
      </c>
      <c r="L225" s="82">
        <f>L$85/Population!T$130</f>
        <v>0.71325734853029399</v>
      </c>
      <c r="M225" s="82">
        <f>M$85/Population!U$130</f>
        <v>0.71363910681955345</v>
      </c>
      <c r="N225" s="82">
        <f>N$85/Population!V$130</f>
        <v>0.7140736342042755</v>
      </c>
      <c r="O225" s="82">
        <f>O$85/Population!W$130</f>
        <v>0.71416454622561498</v>
      </c>
      <c r="P225" s="82">
        <f>P$85/Population!X$130</f>
        <v>0.71436358680839462</v>
      </c>
      <c r="Q225" s="82">
        <f>Q$85/Population!Y$130</f>
        <v>0.7145940113299164</v>
      </c>
      <c r="R225" s="82">
        <f>R$85/Population!Z$130</f>
        <v>0.71489932885906038</v>
      </c>
      <c r="S225" s="82">
        <f>S$85/Population!AA$130</f>
        <v>0.71514488791689446</v>
      </c>
      <c r="T225" s="82">
        <f>T$85/Population!AB$130</f>
        <v>0.71531431736361117</v>
      </c>
      <c r="U225" s="82">
        <f>U$85/Population!AC$130</f>
        <v>0.71556300642637605</v>
      </c>
      <c r="V225" s="82">
        <f>V$85/Population!AD$130</f>
        <v>0.7155884867483614</v>
      </c>
      <c r="W225" s="82">
        <f>W$85/Population!AE$130</f>
        <v>0.71599999999999997</v>
      </c>
      <c r="X225" s="82">
        <f>X$85/Population!AF$130</f>
        <v>0.71596783457782887</v>
      </c>
      <c r="Y225" s="82">
        <f>Y$85/Population!AG$130</f>
        <v>0.71610890527509929</v>
      </c>
      <c r="Z225" s="82">
        <f>Z$85/Population!AH$130</f>
        <v>0.71619737942570394</v>
      </c>
      <c r="AA225" s="82">
        <f>AA$85/Population!AI$130</f>
        <v>0.71616799341202309</v>
      </c>
      <c r="AB225" s="82">
        <f>AB$85/Population!AJ$130</f>
        <v>0.71626016260162606</v>
      </c>
      <c r="AC225" s="82">
        <f>AC$85/Population!AK$130</f>
        <v>0.71639388247920577</v>
      </c>
      <c r="AD225" s="82">
        <f>AD$85/Population!AL$130</f>
        <v>0.71641791044776115</v>
      </c>
      <c r="AE225" s="82">
        <f>AE$85/Population!AM$130</f>
        <v>0.71648526679054947</v>
      </c>
      <c r="AF225" s="82">
        <f>AF$85/Population!AN$130</f>
        <v>0.71674615792262852</v>
      </c>
      <c r="AG225" s="82">
        <f>AG$85/Population!AO$130</f>
        <v>0.71655629139072852</v>
      </c>
      <c r="AH225" s="82">
        <f>AH$85/Population!AP$130</f>
        <v>0.71663571239055457</v>
      </c>
      <c r="AI225" s="82">
        <f>AI$85/Population!AQ$130</f>
        <v>0.71679531541123231</v>
      </c>
      <c r="AJ225" s="82">
        <f>AJ$85/Population!AR$130</f>
        <v>0.71692060946271052</v>
      </c>
      <c r="AK225" s="82">
        <f>AK$85/Population!AS$130</f>
        <v>0.71674281107229243</v>
      </c>
      <c r="AL225" s="82">
        <f>AL$85/Population!AT$130</f>
        <v>0.71687398593834506</v>
      </c>
      <c r="AM225" s="82">
        <f>AM$85/Population!AU$130</f>
        <v>0.71712496596787367</v>
      </c>
      <c r="AN225" s="82">
        <f>AN$85/Population!AV$130</f>
        <v>0.71690874212112909</v>
      </c>
      <c r="AO225" s="82">
        <f>AO$85/Population!AW$130</f>
        <v>0.71712158808933002</v>
      </c>
      <c r="AP225" s="82">
        <f>AP$85/Population!AX$130</f>
        <v>0.7170177383592018</v>
      </c>
      <c r="AQ225" s="82">
        <f>AQ$85/Population!AY$130</f>
        <v>0.71702838063439067</v>
      </c>
      <c r="AR225" s="82">
        <f>AR$85/Population!AZ$130</f>
        <v>0.7170758928571429</v>
      </c>
      <c r="AS225" s="82">
        <f>AS$85/Population!BA$130</f>
        <v>0.71703910614525135</v>
      </c>
      <c r="AT225" s="82">
        <f>AT$85/Population!BB$130</f>
        <v>0.71711812342920966</v>
      </c>
      <c r="AU225" s="82">
        <f>AU$85/Population!BC$130</f>
        <v>0.71695482431678748</v>
      </c>
      <c r="AV225" s="82">
        <f>AV$85/Population!BD$130</f>
        <v>0.71702838063439067</v>
      </c>
      <c r="AW225" s="82">
        <f>AW$85/Population!BE$130</f>
        <v>0.71718012767138495</v>
      </c>
      <c r="AX225" s="82">
        <f>AX$85/Population!BF$130</f>
        <v>0.71693414499169894</v>
      </c>
      <c r="AY225" s="82">
        <f>AY$85/Population!BG$130</f>
        <v>0.71716335540838849</v>
      </c>
      <c r="AZ225" s="82">
        <f>AZ$85/Population!BH$130</f>
        <v>0.717116125481563</v>
      </c>
      <c r="BA225" s="82">
        <f>BA$85/Population!BI$130</f>
        <v>0.71706915477497257</v>
      </c>
      <c r="BB225" s="82">
        <f>BB$85/Population!BJ$130</f>
        <v>0.71721872433616207</v>
      </c>
      <c r="BC225" s="82">
        <f>BC$85/Population!BK$130</f>
        <v>0.71709448388858543</v>
      </c>
      <c r="BD225" s="82">
        <f>BD$85/Population!BL$130</f>
        <v>0.71716621253405999</v>
      </c>
    </row>
    <row r="226" spans="3:56" x14ac:dyDescent="0.2">
      <c r="C226" s="28">
        <v>21</v>
      </c>
      <c r="E226" s="82">
        <f>E$86/Population!M$131</f>
        <v>0.76530339481422083</v>
      </c>
      <c r="F226" s="82">
        <f>F$86/Population!N$131</f>
        <v>0.76599783080260309</v>
      </c>
      <c r="G226" s="82">
        <f>G$86/Population!O$131</f>
        <v>0.76666666666666672</v>
      </c>
      <c r="H226" s="82">
        <f>H$86/Population!P$131</f>
        <v>0.76721494284917757</v>
      </c>
      <c r="I226" s="82">
        <f>I$86/Population!Q$131</f>
        <v>0.76778819635962492</v>
      </c>
      <c r="J226" s="82">
        <f>J$86/Population!R$131</f>
        <v>0.7682366456059736</v>
      </c>
      <c r="K226" s="82">
        <f>K$86/Population!S$131</f>
        <v>0.76885792184186608</v>
      </c>
      <c r="L226" s="82">
        <f>L$86/Population!T$131</f>
        <v>0.76930063578564944</v>
      </c>
      <c r="M226" s="82">
        <f>M$86/Population!U$131</f>
        <v>0.76968973747016711</v>
      </c>
      <c r="N226" s="82">
        <f>N$86/Population!V$131</f>
        <v>0.77003902731912344</v>
      </c>
      <c r="O226" s="82">
        <f>O$86/Population!W$131</f>
        <v>0.77023036030714709</v>
      </c>
      <c r="P226" s="82">
        <f>P$86/Population!X$131</f>
        <v>0.77068092290377044</v>
      </c>
      <c r="Q226" s="82">
        <f>Q$86/Population!Y$131</f>
        <v>0.77102550189907759</v>
      </c>
      <c r="R226" s="82">
        <f>R$86/Population!Z$131</f>
        <v>0.7712137486573577</v>
      </c>
      <c r="S226" s="82">
        <f>S$86/Population!AA$131</f>
        <v>0.77157360406091369</v>
      </c>
      <c r="T226" s="82">
        <f>T$86/Population!AB$131</f>
        <v>0.77176278563656153</v>
      </c>
      <c r="U226" s="82">
        <f>U$86/Population!AC$131</f>
        <v>0.77183797189308345</v>
      </c>
      <c r="V226" s="82">
        <f>V$86/Population!AD$131</f>
        <v>0.77231025854879065</v>
      </c>
      <c r="W226" s="82">
        <f>W$86/Population!AE$131</f>
        <v>0.77232775730082226</v>
      </c>
      <c r="X226" s="82">
        <f>X$86/Population!AF$131</f>
        <v>0.77259806708357026</v>
      </c>
      <c r="Y226" s="82">
        <f>Y$86/Population!AG$131</f>
        <v>0.77285714285714291</v>
      </c>
      <c r="Z226" s="82">
        <f>Z$86/Population!AH$131</f>
        <v>0.77285553047404065</v>
      </c>
      <c r="AA226" s="82">
        <f>AA$86/Population!AI$131</f>
        <v>0.77287853577371046</v>
      </c>
      <c r="AB226" s="82">
        <f>AB$86/Population!AJ$131</f>
        <v>0.77301283802239829</v>
      </c>
      <c r="AC226" s="82">
        <f>AC$86/Population!AK$131</f>
        <v>0.77319309600862995</v>
      </c>
      <c r="AD226" s="82">
        <f>AD$86/Population!AL$131</f>
        <v>0.77329773030707605</v>
      </c>
      <c r="AE226" s="82">
        <f>AE$86/Population!AM$131</f>
        <v>0.77347480106100797</v>
      </c>
      <c r="AF226" s="82">
        <f>AF$86/Population!AN$131</f>
        <v>0.77357992073976223</v>
      </c>
      <c r="AG226" s="82">
        <f>AG$86/Population!AO$131</f>
        <v>0.77373417721518989</v>
      </c>
      <c r="AH226" s="82">
        <f>AH$86/Population!AP$131</f>
        <v>0.77353018718692323</v>
      </c>
      <c r="AI226" s="82">
        <f>AI$86/Population!AQ$131</f>
        <v>0.77369949828360185</v>
      </c>
      <c r="AJ226" s="82">
        <f>AJ$86/Population!AR$131</f>
        <v>0.77377483443708606</v>
      </c>
      <c r="AK226" s="82">
        <f>AK$86/Population!AS$131</f>
        <v>0.77387603085927104</v>
      </c>
      <c r="AL226" s="82">
        <f>AL$86/Population!AT$131</f>
        <v>0.77373629312650438</v>
      </c>
      <c r="AM226" s="82">
        <f>AM$86/Population!AU$131</f>
        <v>0.77395048439181913</v>
      </c>
      <c r="AN226" s="82">
        <f>AN$86/Population!AV$131</f>
        <v>0.77383531960996754</v>
      </c>
      <c r="AO226" s="82">
        <f>AO$86/Population!AW$131</f>
        <v>0.77399127589967287</v>
      </c>
      <c r="AP226" s="82">
        <f>AP$86/Population!AX$131</f>
        <v>0.77399890290729567</v>
      </c>
      <c r="AQ226" s="82">
        <f>AQ$86/Population!AY$131</f>
        <v>0.77391783843396744</v>
      </c>
      <c r="AR226" s="82">
        <f>AR$86/Population!AZ$131</f>
        <v>0.77408637873754149</v>
      </c>
      <c r="AS226" s="82">
        <f>AS$86/Population!BA$131</f>
        <v>0.77407715792395226</v>
      </c>
      <c r="AT226" s="82">
        <f>AT$86/Population!BB$131</f>
        <v>0.77410391775493193</v>
      </c>
      <c r="AU226" s="82">
        <f>AU$86/Population!BC$131</f>
        <v>0.77388888888888885</v>
      </c>
      <c r="AV226" s="82">
        <f>AV$86/Population!BD$131</f>
        <v>0.77392510402219139</v>
      </c>
      <c r="AW226" s="82">
        <f>AW$86/Population!BE$131</f>
        <v>0.77387212842513142</v>
      </c>
      <c r="AX226" s="82">
        <f>AX$86/Population!BF$131</f>
        <v>0.77388183324130311</v>
      </c>
      <c r="AY226" s="82">
        <f>AY$86/Population!BG$131</f>
        <v>0.77395374449339205</v>
      </c>
      <c r="AZ226" s="82">
        <f>AZ$86/Population!BH$131</f>
        <v>0.7738127916552292</v>
      </c>
      <c r="BA226" s="82">
        <f>BA$86/Population!BI$131</f>
        <v>0.77388447851081299</v>
      </c>
      <c r="BB226" s="82">
        <f>BB$86/Population!BJ$131</f>
        <v>0.77395577395577397</v>
      </c>
      <c r="BC226" s="82">
        <f>BC$86/Population!BK$131</f>
        <v>0.77396514161220042</v>
      </c>
      <c r="BD226" s="82">
        <f>BD$86/Population!BL$131</f>
        <v>0.77397446346101606</v>
      </c>
    </row>
    <row r="227" spans="3:56" x14ac:dyDescent="0.2">
      <c r="C227" s="28">
        <v>22</v>
      </c>
      <c r="E227" s="82">
        <f>E$87/Population!M$132</f>
        <v>0.8051705756929638</v>
      </c>
      <c r="F227" s="82">
        <f>F$87/Population!N$132</f>
        <v>0.80629225169006757</v>
      </c>
      <c r="G227" s="82">
        <f>G$87/Population!O$132</f>
        <v>0.8073248407643312</v>
      </c>
      <c r="H227" s="82">
        <f>H$87/Population!P$132</f>
        <v>0.80829294561120091</v>
      </c>
      <c r="I227" s="82">
        <f>I$87/Population!Q$132</f>
        <v>0.80945796460176989</v>
      </c>
      <c r="J227" s="82">
        <f>J$87/Population!R$132</f>
        <v>0.8104160925874897</v>
      </c>
      <c r="K227" s="82">
        <f>K$87/Population!S$132</f>
        <v>0.81095811818703389</v>
      </c>
      <c r="L227" s="82">
        <f>L$87/Population!T$132</f>
        <v>0.81180030257186087</v>
      </c>
      <c r="M227" s="82">
        <f>M$87/Population!U$132</f>
        <v>0.8125188993045056</v>
      </c>
      <c r="N227" s="82">
        <f>N$87/Population!V$132</f>
        <v>0.81341281669150522</v>
      </c>
      <c r="O227" s="82">
        <f>O$87/Population!W$132</f>
        <v>0.81379310344827582</v>
      </c>
      <c r="P227" s="82">
        <f>P$87/Population!X$132</f>
        <v>0.81445427728613573</v>
      </c>
      <c r="Q227" s="82">
        <f>Q$87/Population!Y$132</f>
        <v>0.81506464305789772</v>
      </c>
      <c r="R227" s="82">
        <f>R$87/Population!Z$132</f>
        <v>0.8154471544715447</v>
      </c>
      <c r="S227" s="82">
        <f>S$87/Population!AA$132</f>
        <v>0.81598712446351929</v>
      </c>
      <c r="T227" s="82">
        <f>T$87/Population!AB$132</f>
        <v>0.8166043780032034</v>
      </c>
      <c r="U227" s="82">
        <f>U$87/Population!AC$132</f>
        <v>0.81706985593911385</v>
      </c>
      <c r="V227" s="82">
        <f>V$87/Population!AD$132</f>
        <v>0.81718061674008813</v>
      </c>
      <c r="W227" s="82">
        <f>W$87/Population!AE$132</f>
        <v>0.81755068036656486</v>
      </c>
      <c r="X227" s="82">
        <f>X$87/Population!AF$132</f>
        <v>0.8178986122911357</v>
      </c>
      <c r="Y227" s="82">
        <f>Y$87/Population!AG$132</f>
        <v>0.81828506530380463</v>
      </c>
      <c r="Z227" s="82">
        <f>Z$87/Population!AH$132</f>
        <v>0.81849315068493156</v>
      </c>
      <c r="AA227" s="82">
        <f>AA$87/Population!AI$132</f>
        <v>0.8187711386696731</v>
      </c>
      <c r="AB227" s="82">
        <f>AB$87/Population!AJ$132</f>
        <v>0.8190634524799113</v>
      </c>
      <c r="AC227" s="82">
        <f>AC$87/Population!AK$132</f>
        <v>0.81909959072305594</v>
      </c>
      <c r="AD227" s="82">
        <f>AD$87/Population!AL$132</f>
        <v>0.81923491379310343</v>
      </c>
      <c r="AE227" s="82">
        <f>AE$87/Population!AM$132</f>
        <v>0.8194185116030942</v>
      </c>
      <c r="AF227" s="82">
        <f>AF$87/Population!AN$132</f>
        <v>0.81955484896661368</v>
      </c>
      <c r="AG227" s="82">
        <f>AG$87/Population!AO$132</f>
        <v>0.81947743467933487</v>
      </c>
      <c r="AH227" s="82">
        <f>AH$87/Population!AP$132</f>
        <v>0.81981032665964171</v>
      </c>
      <c r="AI227" s="82">
        <f>AI$87/Population!AQ$132</f>
        <v>0.81985778245983676</v>
      </c>
      <c r="AJ227" s="82">
        <f>AJ$87/Population!AR$132</f>
        <v>0.81983645476127676</v>
      </c>
      <c r="AK227" s="82">
        <f>AK$87/Population!AS$132</f>
        <v>0.82005821645938082</v>
      </c>
      <c r="AL227" s="82">
        <f>AL$87/Population!AT$132</f>
        <v>0.82009035344140313</v>
      </c>
      <c r="AM227" s="82">
        <f>AM$87/Population!AU$132</f>
        <v>0.82019770237777179</v>
      </c>
      <c r="AN227" s="82">
        <f>AN$87/Population!AV$132</f>
        <v>0.82016129032258067</v>
      </c>
      <c r="AO227" s="82">
        <f>AO$87/Population!AW$132</f>
        <v>0.82007575757575757</v>
      </c>
      <c r="AP227" s="82">
        <f>AP$87/Population!AX$132</f>
        <v>0.8202614379084967</v>
      </c>
      <c r="AQ227" s="82">
        <f>AQ$87/Population!AY$132</f>
        <v>0.82027397260273971</v>
      </c>
      <c r="AR227" s="82">
        <f>AR$87/Population!AZ$132</f>
        <v>0.82015973561002475</v>
      </c>
      <c r="AS227" s="82">
        <f>AS$87/Population!BA$132</f>
        <v>0.82029306054741502</v>
      </c>
      <c r="AT227" s="82">
        <f>AT$87/Population!BB$132</f>
        <v>0.82034932076517886</v>
      </c>
      <c r="AU227" s="82">
        <f>AU$87/Population!BC$132</f>
        <v>0.82042742159311688</v>
      </c>
      <c r="AV227" s="82">
        <f>AV$87/Population!BD$132</f>
        <v>0.82019977802441735</v>
      </c>
      <c r="AW227" s="82">
        <f>AW$87/Population!BE$132</f>
        <v>0.82017179274037133</v>
      </c>
      <c r="AX227" s="82">
        <f>AX$87/Population!BF$132</f>
        <v>0.82029306054741502</v>
      </c>
      <c r="AY227" s="82">
        <f>AY$87/Population!BG$132</f>
        <v>0.82046332046332049</v>
      </c>
      <c r="AZ227" s="82">
        <f>AZ$87/Population!BH$132</f>
        <v>0.82018146824305749</v>
      </c>
      <c r="BA227" s="82">
        <f>BA$87/Population!BI$132</f>
        <v>0.8204003290375651</v>
      </c>
      <c r="BB227" s="82">
        <f>BB$87/Population!BJ$132</f>
        <v>0.82012028430836525</v>
      </c>
      <c r="BC227" s="82">
        <f>BC$87/Population!BK$132</f>
        <v>0.82006543075245364</v>
      </c>
      <c r="BD227" s="82">
        <f>BD$87/Population!BL$132</f>
        <v>0.82023388632036986</v>
      </c>
    </row>
    <row r="228" spans="3:56" x14ac:dyDescent="0.2">
      <c r="C228" s="28">
        <v>23</v>
      </c>
      <c r="E228" s="82">
        <f>E$88/Population!M$133</f>
        <v>0.83737669954678751</v>
      </c>
      <c r="F228" s="82">
        <f>F$88/Population!N$133</f>
        <v>0.83879288109362915</v>
      </c>
      <c r="G228" s="82">
        <f>G$88/Population!O$133</f>
        <v>0.84035532994923856</v>
      </c>
      <c r="H228" s="82">
        <f>H$88/Population!P$133</f>
        <v>0.84159707724425892</v>
      </c>
      <c r="I228" s="82">
        <f>I$88/Population!Q$133</f>
        <v>0.84307445956765414</v>
      </c>
      <c r="J228" s="82">
        <f>J$88/Population!R$133</f>
        <v>0.8441558441558441</v>
      </c>
      <c r="K228" s="82">
        <f>K$88/Population!S$133</f>
        <v>0.84530690889072391</v>
      </c>
      <c r="L228" s="82">
        <f>L$88/Population!T$133</f>
        <v>0.8463743192891946</v>
      </c>
      <c r="M228" s="82">
        <f>M$88/Population!U$133</f>
        <v>0.84738591719552736</v>
      </c>
      <c r="N228" s="82">
        <f>N$88/Population!V$133</f>
        <v>0.84838417396556931</v>
      </c>
      <c r="O228" s="82">
        <f>O$88/Population!W$133</f>
        <v>0.84935992855016373</v>
      </c>
      <c r="P228" s="82">
        <f>P$88/Population!X$133</f>
        <v>0.84995507637017076</v>
      </c>
      <c r="Q228" s="82">
        <f>Q$88/Population!Y$133</f>
        <v>0.85086943707633367</v>
      </c>
      <c r="R228" s="82">
        <f>R$88/Population!Z$133</f>
        <v>0.85148792813026386</v>
      </c>
      <c r="S228" s="82">
        <f>S$88/Population!AA$133</f>
        <v>0.85192203573362213</v>
      </c>
      <c r="T228" s="82">
        <f>T$88/Population!AB$133</f>
        <v>0.85262593783494101</v>
      </c>
      <c r="U228" s="82">
        <f>U$88/Population!AC$133</f>
        <v>0.85333333333333339</v>
      </c>
      <c r="V228" s="82">
        <f>V$88/Population!AD$133</f>
        <v>0.85392343198479503</v>
      </c>
      <c r="W228" s="82">
        <f>W$88/Population!AE$133</f>
        <v>0.85423542354235427</v>
      </c>
      <c r="X228" s="82">
        <f>X$88/Population!AF$133</f>
        <v>0.85464632454923717</v>
      </c>
      <c r="Y228" s="82">
        <f>Y$88/Population!AG$133</f>
        <v>0.85487977369165491</v>
      </c>
      <c r="Z228" s="82">
        <f>Z$88/Population!AH$133</f>
        <v>0.85536018150879178</v>
      </c>
      <c r="AA228" s="82">
        <f>AA$88/Population!AI$133</f>
        <v>0.85575826681870015</v>
      </c>
      <c r="AB228" s="82">
        <f>AB$88/Population!AJ$133</f>
        <v>0.85613738738738743</v>
      </c>
      <c r="AC228" s="82">
        <f>AC$88/Population!AK$133</f>
        <v>0.85611510791366907</v>
      </c>
      <c r="AD228" s="82">
        <f>AD$88/Population!AL$133</f>
        <v>0.85636413191605343</v>
      </c>
      <c r="AE228" s="82">
        <f>AE$88/Population!AM$133</f>
        <v>0.85683530678148545</v>
      </c>
      <c r="AF228" s="82">
        <f>AF$88/Population!AN$133</f>
        <v>0.85691446842525976</v>
      </c>
      <c r="AG228" s="82">
        <f>AG$88/Population!AO$133</f>
        <v>0.85706723133933294</v>
      </c>
      <c r="AH228" s="82">
        <f>AH$88/Population!AP$133</f>
        <v>0.85710519377801209</v>
      </c>
      <c r="AI228" s="82">
        <f>AI$88/Population!AQ$133</f>
        <v>0.8571428571428571</v>
      </c>
      <c r="AJ228" s="82">
        <f>AJ$88/Population!AR$133</f>
        <v>0.85740594580373586</v>
      </c>
      <c r="AK228" s="82">
        <f>AK$88/Population!AS$133</f>
        <v>0.85744400527009224</v>
      </c>
      <c r="AL228" s="82">
        <f>AL$88/Population!AT$133</f>
        <v>0.85755813953488369</v>
      </c>
      <c r="AM228" s="82">
        <f>AM$88/Population!AU$133</f>
        <v>0.85748407643312097</v>
      </c>
      <c r="AN228" s="82">
        <f>AN$88/Population!AV$133</f>
        <v>0.85752401280683033</v>
      </c>
      <c r="AO228" s="82">
        <f>AO$88/Population!AW$133</f>
        <v>0.85771812080536913</v>
      </c>
      <c r="AP228" s="82">
        <f>AP$88/Population!AX$133</f>
        <v>0.85760605241826537</v>
      </c>
      <c r="AQ228" s="82">
        <f>AQ$88/Population!AY$133</f>
        <v>0.8577644819146043</v>
      </c>
      <c r="AR228" s="82">
        <f>AR$88/Population!AZ$133</f>
        <v>0.85772913816689467</v>
      </c>
      <c r="AS228" s="82">
        <f>AS$88/Population!BA$133</f>
        <v>0.85781078107810782</v>
      </c>
      <c r="AT228" s="82">
        <f>AT$88/Population!BB$133</f>
        <v>0.85805026235846449</v>
      </c>
      <c r="AU228" s="82">
        <f>AU$88/Population!BC$133</f>
        <v>0.85797342192691028</v>
      </c>
      <c r="AV228" s="82">
        <f>AV$88/Population!BD$133</f>
        <v>0.85781596452328157</v>
      </c>
      <c r="AW228" s="82">
        <f>AW$88/Population!BE$133</f>
        <v>0.85785536159600995</v>
      </c>
      <c r="AX228" s="82">
        <f>AX$88/Population!BF$133</f>
        <v>0.85777531820697284</v>
      </c>
      <c r="AY228" s="82">
        <f>AY$88/Population!BG$133</f>
        <v>0.85781336278299281</v>
      </c>
      <c r="AZ228" s="82">
        <f>AZ$88/Population!BH$133</f>
        <v>0.85789038832277609</v>
      </c>
      <c r="BA228" s="82">
        <f>BA$88/Population!BI$133</f>
        <v>0.85777045579352007</v>
      </c>
      <c r="BB228" s="82">
        <f>BB$88/Population!BJ$133</f>
        <v>0.85788608981380066</v>
      </c>
      <c r="BC228" s="82">
        <f>BC$88/Population!BK$133</f>
        <v>0.85776685776685779</v>
      </c>
      <c r="BD228" s="82">
        <f>BD$88/Population!BL$133</f>
        <v>0.85811546840958608</v>
      </c>
    </row>
    <row r="229" spans="3:56" x14ac:dyDescent="0.2">
      <c r="C229" s="28">
        <v>24</v>
      </c>
      <c r="E229" s="82">
        <f>E$89/Population!M$134</f>
        <v>0.86093059526904081</v>
      </c>
      <c r="F229" s="82">
        <f>F$89/Population!N$134</f>
        <v>0.86336684712554779</v>
      </c>
      <c r="G229" s="82">
        <f>G$89/Population!O$134</f>
        <v>0.86512330145948668</v>
      </c>
      <c r="H229" s="82">
        <f>H$89/Population!P$134</f>
        <v>0.86719920119820271</v>
      </c>
      <c r="I229" s="82">
        <f>I$89/Population!Q$134</f>
        <v>0.86863201448151017</v>
      </c>
      <c r="J229" s="82">
        <f>J$89/Population!R$134</f>
        <v>0.87043455078645693</v>
      </c>
      <c r="K229" s="82">
        <f>K$89/Population!S$134</f>
        <v>0.87192934032569691</v>
      </c>
      <c r="L229" s="82">
        <f>L$89/Population!T$134</f>
        <v>0.87324718174319493</v>
      </c>
      <c r="M229" s="82">
        <f>M$89/Population!U$134</f>
        <v>0.87489264242771259</v>
      </c>
      <c r="N229" s="82">
        <f>N$89/Population!V$134</f>
        <v>0.87594325384847571</v>
      </c>
      <c r="O229" s="82">
        <f>O$89/Population!W$134</f>
        <v>0.87722473604826545</v>
      </c>
      <c r="P229" s="82">
        <f>P$89/Population!X$134</f>
        <v>0.87812128418549351</v>
      </c>
      <c r="Q229" s="82">
        <f>Q$89/Population!Y$134</f>
        <v>0.87915046365539939</v>
      </c>
      <c r="R229" s="82">
        <f>R$89/Population!Z$134</f>
        <v>0.8802236609770453</v>
      </c>
      <c r="S229" s="82">
        <f>S$89/Population!AA$134</f>
        <v>0.88109927089175544</v>
      </c>
      <c r="T229" s="82">
        <f>T$89/Population!AB$134</f>
        <v>0.88182801514332076</v>
      </c>
      <c r="U229" s="82">
        <f>U$89/Population!AC$134</f>
        <v>0.88249464668094213</v>
      </c>
      <c r="V229" s="82">
        <f>V$89/Population!AD$134</f>
        <v>0.88308921438082555</v>
      </c>
      <c r="W229" s="82">
        <f>W$89/Population!AE$134</f>
        <v>0.88367678958785245</v>
      </c>
      <c r="X229" s="82">
        <f>X$89/Population!AF$134</f>
        <v>0.88437242515792369</v>
      </c>
      <c r="Y229" s="82">
        <f>Y$89/Population!AG$134</f>
        <v>0.88476454293628803</v>
      </c>
      <c r="Z229" s="82">
        <f>Z$89/Population!AH$134</f>
        <v>0.88556089290760098</v>
      </c>
      <c r="AA229" s="82">
        <f>AA$89/Population!AI$134</f>
        <v>0.88558482016425943</v>
      </c>
      <c r="AB229" s="82">
        <f>AB$89/Population!AJ$134</f>
        <v>0.88613720466837465</v>
      </c>
      <c r="AC229" s="82">
        <f>AC$89/Population!AK$134</f>
        <v>0.88642114141130168</v>
      </c>
      <c r="AD229" s="82">
        <f>AD$89/Population!AL$134</f>
        <v>0.88695411829740189</v>
      </c>
      <c r="AE229" s="82">
        <f>AE$89/Population!AM$134</f>
        <v>0.88704409363091996</v>
      </c>
      <c r="AF229" s="82">
        <f>AF$89/Population!AN$134</f>
        <v>0.88712711636656816</v>
      </c>
      <c r="AG229" s="82">
        <f>AG$89/Population!AO$134</f>
        <v>0.88744012772751468</v>
      </c>
      <c r="AH229" s="82">
        <f>AH$89/Population!AP$134</f>
        <v>0.887655300026434</v>
      </c>
      <c r="AI229" s="82">
        <f>AI$89/Population!AQ$134</f>
        <v>0.88783570300157977</v>
      </c>
      <c r="AJ229" s="82">
        <f>AJ$89/Population!AR$134</f>
        <v>0.88780872306883862</v>
      </c>
      <c r="AK229" s="82">
        <f>AK$89/Population!AS$134</f>
        <v>0.88807146610614818</v>
      </c>
      <c r="AL229" s="82">
        <f>AL$89/Population!AT$134</f>
        <v>0.88815789473684215</v>
      </c>
      <c r="AM229" s="82">
        <f>AM$89/Population!AU$134</f>
        <v>0.88836104513064129</v>
      </c>
      <c r="AN229" s="82">
        <f>AN$89/Population!AV$134</f>
        <v>0.88841770474423531</v>
      </c>
      <c r="AO229" s="82">
        <f>AO$89/Population!AW$134</f>
        <v>0.88835598188116172</v>
      </c>
      <c r="AP229" s="82">
        <f>AP$89/Population!AX$134</f>
        <v>0.88847184986595173</v>
      </c>
      <c r="AQ229" s="82">
        <f>AQ$89/Population!AY$134</f>
        <v>0.88855909336211547</v>
      </c>
      <c r="AR229" s="82">
        <f>AR$89/Population!AZ$134</f>
        <v>0.88864747419880497</v>
      </c>
      <c r="AS229" s="82">
        <f>AS$89/Population!BA$134</f>
        <v>0.88852459016393448</v>
      </c>
      <c r="AT229" s="82">
        <f>AT$89/Population!BB$134</f>
        <v>0.88849217248008794</v>
      </c>
      <c r="AU229" s="82">
        <f>AU$89/Population!BC$134</f>
        <v>0.88861317893575953</v>
      </c>
      <c r="AV229" s="82">
        <f>AV$89/Population!BD$134</f>
        <v>0.88885816975393972</v>
      </c>
      <c r="AW229" s="82">
        <f>AW$89/Population!BE$134</f>
        <v>0.88848920863309355</v>
      </c>
      <c r="AX229" s="82">
        <f>AX$89/Population!BF$134</f>
        <v>0.88876591034864416</v>
      </c>
      <c r="AY229" s="82">
        <f>AY$89/Population!BG$134</f>
        <v>0.88864327162199508</v>
      </c>
      <c r="AZ229" s="82">
        <f>AZ$89/Population!BH$134</f>
        <v>0.88861317893575953</v>
      </c>
      <c r="BA229" s="82">
        <f>BA$89/Population!BI$134</f>
        <v>0.88864448721473743</v>
      </c>
      <c r="BB229" s="82">
        <f>BB$89/Population!BJ$134</f>
        <v>0.8886756238003839</v>
      </c>
      <c r="BC229" s="82">
        <f>BC$89/Population!BK$134</f>
        <v>0.8884636413340623</v>
      </c>
      <c r="BD229" s="82">
        <f>BD$89/Population!BL$134</f>
        <v>0.88876772082878952</v>
      </c>
    </row>
    <row r="230" spans="3:56" x14ac:dyDescent="0.2">
      <c r="C230" s="28">
        <v>25</v>
      </c>
      <c r="E230" s="82">
        <f>E$90/Population!M$135</f>
        <v>0.87935517420696829</v>
      </c>
      <c r="F230" s="82">
        <f>F$90/Population!N$135</f>
        <v>0.88211586901763228</v>
      </c>
      <c r="G230" s="82">
        <f>G$90/Population!O$135</f>
        <v>0.8847218726403222</v>
      </c>
      <c r="H230" s="82">
        <f>H$90/Population!P$135</f>
        <v>0.88707280832095092</v>
      </c>
      <c r="I230" s="82">
        <f>I$90/Population!Q$135</f>
        <v>0.8891363523880228</v>
      </c>
      <c r="J230" s="82">
        <f>J$90/Population!R$135</f>
        <v>0.8912706611570248</v>
      </c>
      <c r="K230" s="82">
        <f>K$90/Population!S$135</f>
        <v>0.89299973383018361</v>
      </c>
      <c r="L230" s="82">
        <f>L$90/Population!T$135</f>
        <v>0.89501240011022321</v>
      </c>
      <c r="M230" s="82">
        <f>M$90/Population!U$135</f>
        <v>0.89676002196595272</v>
      </c>
      <c r="N230" s="82">
        <f>N$90/Population!V$135</f>
        <v>0.89825664475564448</v>
      </c>
      <c r="O230" s="82">
        <f>O$90/Population!W$135</f>
        <v>0.8996685748719494</v>
      </c>
      <c r="P230" s="82">
        <f>P$90/Population!X$135</f>
        <v>0.90123456790123457</v>
      </c>
      <c r="Q230" s="82">
        <f>Q$90/Population!Y$135</f>
        <v>0.90264173345206289</v>
      </c>
      <c r="R230" s="82">
        <f>R$90/Population!Z$135</f>
        <v>0.90355329949238583</v>
      </c>
      <c r="S230" s="82">
        <f>S$90/Population!AA$135</f>
        <v>0.90452408930669803</v>
      </c>
      <c r="T230" s="82">
        <f>T$90/Population!AB$135</f>
        <v>0.90565509518477039</v>
      </c>
      <c r="U230" s="82">
        <f>U$90/Population!AC$135</f>
        <v>0.9065874730021598</v>
      </c>
      <c r="V230" s="82">
        <f>V$90/Population!AD$135</f>
        <v>0.90753607696419025</v>
      </c>
      <c r="W230" s="82">
        <f>W$90/Population!AE$135</f>
        <v>0.90826907737303908</v>
      </c>
      <c r="X230" s="82">
        <f>X$90/Population!AF$135</f>
        <v>0.90877097996751488</v>
      </c>
      <c r="Y230" s="82">
        <f>Y$90/Population!AG$135</f>
        <v>0.909514669591445</v>
      </c>
      <c r="Z230" s="82">
        <f>Z$90/Population!AH$135</f>
        <v>0.9101216814159292</v>
      </c>
      <c r="AA230" s="82">
        <f>AA$90/Population!AI$135</f>
        <v>0.91060349689791309</v>
      </c>
      <c r="AB230" s="82">
        <f>AB$90/Population!AJ$135</f>
        <v>0.91122420130053716</v>
      </c>
      <c r="AC230" s="82">
        <f>AC$90/Population!AK$135</f>
        <v>0.91162262006251771</v>
      </c>
      <c r="AD230" s="82">
        <f>AD$90/Population!AL$135</f>
        <v>0.91215268032556829</v>
      </c>
      <c r="AE230" s="82">
        <f>AE$90/Population!AM$135</f>
        <v>0.91227586206896549</v>
      </c>
      <c r="AF230" s="82">
        <f>AF$90/Population!AN$135</f>
        <v>0.91277173913043474</v>
      </c>
      <c r="AG230" s="82">
        <f>AG$90/Population!AO$135</f>
        <v>0.91306680976656829</v>
      </c>
      <c r="AH230" s="82">
        <f>AH$90/Population!AP$135</f>
        <v>0.91339001062699254</v>
      </c>
      <c r="AI230" s="82">
        <f>AI$90/Population!AQ$135</f>
        <v>0.91343362364740033</v>
      </c>
      <c r="AJ230" s="82">
        <f>AJ$90/Population!AR$135</f>
        <v>0.91377497371188221</v>
      </c>
      <c r="AK230" s="82">
        <f>AK$90/Population!AS$135</f>
        <v>0.9136935991605456</v>
      </c>
      <c r="AL230" s="82">
        <f>AL$90/Population!AT$135</f>
        <v>0.91395592864637987</v>
      </c>
      <c r="AM230" s="82">
        <f>AM$90/Population!AU$135</f>
        <v>0.91384292093511954</v>
      </c>
      <c r="AN230" s="82">
        <f>AN$90/Population!AV$135</f>
        <v>0.91409749670619234</v>
      </c>
      <c r="AO230" s="82">
        <f>AO$90/Population!AW$135</f>
        <v>0.91426303254829322</v>
      </c>
      <c r="AP230" s="82">
        <f>AP$90/Population!AX$135</f>
        <v>0.91433891992551208</v>
      </c>
      <c r="AQ230" s="82">
        <f>AQ$90/Population!AY$135</f>
        <v>0.91434689507494649</v>
      </c>
      <c r="AR230" s="82">
        <f>AR$90/Population!AZ$135</f>
        <v>0.91433189655172409</v>
      </c>
      <c r="AS230" s="82">
        <f>AS$90/Population!BA$135</f>
        <v>0.91458785249457697</v>
      </c>
      <c r="AT230" s="82">
        <f>AT$90/Population!BB$135</f>
        <v>0.91462084015275502</v>
      </c>
      <c r="AU230" s="82">
        <f>AU$90/Population!BC$135</f>
        <v>0.91419956140350878</v>
      </c>
      <c r="AV230" s="82">
        <f>AV$90/Population!BD$135</f>
        <v>0.91439581612992016</v>
      </c>
      <c r="AW230" s="82">
        <f>AW$90/Population!BE$135</f>
        <v>0.91445916114790282</v>
      </c>
      <c r="AX230" s="82">
        <f>AX$90/Population!BF$135</f>
        <v>0.91436464088397795</v>
      </c>
      <c r="AY230" s="82">
        <f>AY$90/Population!BG$135</f>
        <v>0.91438829052747861</v>
      </c>
      <c r="AZ230" s="82">
        <f>AZ$90/Population!BH$135</f>
        <v>0.91450634307777168</v>
      </c>
      <c r="BA230" s="82">
        <f>BA$90/Population!BI$135</f>
        <v>0.91441937259218486</v>
      </c>
      <c r="BB230" s="82">
        <f>BB$90/Population!BJ$135</f>
        <v>0.91463079879220421</v>
      </c>
      <c r="BC230" s="82">
        <f>BC$90/Population!BK$135</f>
        <v>0.91434044882320742</v>
      </c>
      <c r="BD230" s="82">
        <f>BD$90/Population!BL$135</f>
        <v>0.91457423580786024</v>
      </c>
    </row>
    <row r="231" spans="3:56" x14ac:dyDescent="0.2">
      <c r="C231" s="28">
        <v>26</v>
      </c>
      <c r="E231" s="82">
        <f>E$91/Population!M$136</f>
        <v>0.89318122893440499</v>
      </c>
      <c r="F231" s="82">
        <f>F$91/Population!N$136</f>
        <v>0.89585439838220426</v>
      </c>
      <c r="G231" s="82">
        <f>G$91/Population!O$136</f>
        <v>0.89815043156596797</v>
      </c>
      <c r="H231" s="82">
        <f>H$91/Population!P$136</f>
        <v>0.90054563492063489</v>
      </c>
      <c r="I231" s="82">
        <f>I$91/Population!Q$136</f>
        <v>0.90272660280029482</v>
      </c>
      <c r="J231" s="82">
        <f>J$91/Population!R$136</f>
        <v>0.90486780331109462</v>
      </c>
      <c r="K231" s="82">
        <f>K$91/Population!S$136</f>
        <v>0.90665291387313052</v>
      </c>
      <c r="L231" s="82">
        <f>L$91/Population!T$136</f>
        <v>0.90858357693329794</v>
      </c>
      <c r="M231" s="82">
        <f>M$91/Population!U$136</f>
        <v>0.91006600660066006</v>
      </c>
      <c r="N231" s="82">
        <f>N$91/Population!V$136</f>
        <v>0.91175664565634418</v>
      </c>
      <c r="O231" s="82">
        <f>O$91/Population!W$136</f>
        <v>0.9130062749572162</v>
      </c>
      <c r="P231" s="82">
        <f>P$91/Population!X$136</f>
        <v>0.91431148526758865</v>
      </c>
      <c r="Q231" s="82">
        <f>Q$91/Population!Y$136</f>
        <v>0.91556490384615385</v>
      </c>
      <c r="R231" s="82">
        <f>R$91/Population!Z$136</f>
        <v>0.91679005034053895</v>
      </c>
      <c r="S231" s="82">
        <f>S$91/Population!AA$136</f>
        <v>0.91805721096543502</v>
      </c>
      <c r="T231" s="82">
        <f>T$91/Population!AB$136</f>
        <v>0.91908531222515388</v>
      </c>
      <c r="U231" s="82">
        <f>U$91/Population!AC$136</f>
        <v>0.91981000279407654</v>
      </c>
      <c r="V231" s="82">
        <f>V$91/Population!AD$136</f>
        <v>0.92077607113985449</v>
      </c>
      <c r="W231" s="82">
        <f>W$91/Population!AE$136</f>
        <v>0.92157908775673514</v>
      </c>
      <c r="X231" s="82">
        <f>X$91/Population!AF$136</f>
        <v>0.92223991507431002</v>
      </c>
      <c r="Y231" s="82">
        <f>Y$91/Population!AG$136</f>
        <v>0.92272358821940015</v>
      </c>
      <c r="Z231" s="82">
        <f>Z$91/Population!AH$136</f>
        <v>0.92337164750957856</v>
      </c>
      <c r="AA231" s="82">
        <f>AA$91/Population!AI$136</f>
        <v>0.92382003864200934</v>
      </c>
      <c r="AB231" s="82">
        <f>AB$91/Population!AJ$136</f>
        <v>0.92428933295806359</v>
      </c>
      <c r="AC231" s="82">
        <f>AC$91/Population!AK$136</f>
        <v>0.9246826516220028</v>
      </c>
      <c r="AD231" s="82">
        <f>AD$91/Population!AL$136</f>
        <v>0.92541123085649457</v>
      </c>
      <c r="AE231" s="82">
        <f>AE$91/Population!AM$136</f>
        <v>0.92551106132735927</v>
      </c>
      <c r="AF231" s="82">
        <f>AF$91/Population!AN$136</f>
        <v>0.92593612334801767</v>
      </c>
      <c r="AG231" s="82">
        <f>AG$91/Population!AO$136</f>
        <v>0.92622728505560081</v>
      </c>
      <c r="AH231" s="82">
        <f>AH$91/Population!AP$136</f>
        <v>0.92610441767068274</v>
      </c>
      <c r="AI231" s="82">
        <f>AI$91/Population!AQ$136</f>
        <v>0.92656415694591732</v>
      </c>
      <c r="AJ231" s="82">
        <f>AJ$91/Population!AR$136</f>
        <v>0.92678430339741902</v>
      </c>
      <c r="AK231" s="82">
        <f>AK$91/Population!AS$136</f>
        <v>0.92681007345225608</v>
      </c>
      <c r="AL231" s="82">
        <f>AL$91/Population!AT$136</f>
        <v>0.92696335078534031</v>
      </c>
      <c r="AM231" s="82">
        <f>AM$91/Population!AU$136</f>
        <v>0.92722513089005232</v>
      </c>
      <c r="AN231" s="82">
        <f>AN$91/Population!AV$136</f>
        <v>0.92737283691662298</v>
      </c>
      <c r="AO231" s="82">
        <f>AO$91/Population!AW$136</f>
        <v>0.92716276623718119</v>
      </c>
      <c r="AP231" s="82">
        <f>AP$91/Population!AX$136</f>
        <v>0.92738315289147077</v>
      </c>
      <c r="AQ231" s="82">
        <f>AQ$91/Population!AY$136</f>
        <v>0.92726307406424213</v>
      </c>
      <c r="AR231" s="82">
        <f>AR$91/Population!AZ$136</f>
        <v>0.92735042735042739</v>
      </c>
      <c r="AS231" s="82">
        <f>AS$91/Population!BA$136</f>
        <v>0.92741935483870963</v>
      </c>
      <c r="AT231" s="82">
        <f>AT$91/Population!BB$136</f>
        <v>0.92748917748917747</v>
      </c>
      <c r="AU231" s="82">
        <f>AU$91/Population!BC$136</f>
        <v>0.9275993467610234</v>
      </c>
      <c r="AV231" s="82">
        <f>AV$91/Population!BD$136</f>
        <v>0.92751641137855578</v>
      </c>
      <c r="AW231" s="82">
        <f>AW$91/Population!BE$136</f>
        <v>0.92749244712990941</v>
      </c>
      <c r="AX231" s="82">
        <f>AX$91/Population!BF$136</f>
        <v>0.92758810572687223</v>
      </c>
      <c r="AY231" s="82">
        <f>AY$91/Population!BG$136</f>
        <v>0.92750826901874306</v>
      </c>
      <c r="AZ231" s="82">
        <f>AZ$91/Population!BH$136</f>
        <v>0.92752824469550843</v>
      </c>
      <c r="BA231" s="82">
        <f>BA$91/Population!BI$136</f>
        <v>0.92762795817281229</v>
      </c>
      <c r="BB231" s="82">
        <f>BB$91/Population!BJ$136</f>
        <v>0.92751235584843494</v>
      </c>
      <c r="BC231" s="82">
        <f>BC$91/Population!BK$136</f>
        <v>0.92769104354971244</v>
      </c>
      <c r="BD231" s="82">
        <f>BD$91/Population!BL$136</f>
        <v>0.9273620972146368</v>
      </c>
    </row>
    <row r="232" spans="3:56" x14ac:dyDescent="0.2">
      <c r="C232" s="28">
        <v>27</v>
      </c>
      <c r="E232" s="82">
        <f>E$92/Population!M$137</f>
        <v>0.8996474098182804</v>
      </c>
      <c r="F232" s="82">
        <f>F$92/Population!N$137</f>
        <v>0.90174286435968676</v>
      </c>
      <c r="G232" s="82">
        <f>G$92/Population!O$137</f>
        <v>0.90406544372830933</v>
      </c>
      <c r="H232" s="82">
        <f>H$92/Population!P$137</f>
        <v>0.90583941605839413</v>
      </c>
      <c r="I232" s="82">
        <f>I$92/Population!Q$137</f>
        <v>0.9077263779527559</v>
      </c>
      <c r="J232" s="82">
        <f>J$92/Population!R$137</f>
        <v>0.90931372549019607</v>
      </c>
      <c r="K232" s="82">
        <f>K$92/Population!S$137</f>
        <v>0.91101799359132363</v>
      </c>
      <c r="L232" s="82">
        <f>L$92/Population!T$137</f>
        <v>0.91229423868312753</v>
      </c>
      <c r="M232" s="82">
        <f>M$92/Population!U$137</f>
        <v>0.9138616485555261</v>
      </c>
      <c r="N232" s="82">
        <f>N$92/Population!V$137</f>
        <v>0.91522633744855963</v>
      </c>
      <c r="O232" s="82">
        <f>O$92/Population!W$137</f>
        <v>0.91637059305821267</v>
      </c>
      <c r="P232" s="82">
        <f>P$92/Population!X$137</f>
        <v>0.91751990898748581</v>
      </c>
      <c r="Q232" s="82">
        <f>Q$92/Population!Y$137</f>
        <v>0.91846522781774576</v>
      </c>
      <c r="R232" s="82">
        <f>R$92/Population!Z$137</f>
        <v>0.91941282204913122</v>
      </c>
      <c r="S232" s="82">
        <f>S$92/Population!AA$137</f>
        <v>0.92028343666961909</v>
      </c>
      <c r="T232" s="82">
        <f>T$92/Population!AB$137</f>
        <v>0.9212715389185977</v>
      </c>
      <c r="U232" s="82">
        <f>U$92/Population!AC$137</f>
        <v>0.92195264542531419</v>
      </c>
      <c r="V232" s="82">
        <f>V$92/Population!AD$137</f>
        <v>0.92281972694343828</v>
      </c>
      <c r="W232" s="82">
        <f>W$92/Population!AE$137</f>
        <v>0.92340768610588553</v>
      </c>
      <c r="X232" s="82">
        <f>X$92/Population!AF$137</f>
        <v>0.9239159350891194</v>
      </c>
      <c r="Y232" s="82">
        <f>Y$92/Population!AG$137</f>
        <v>0.92456326098464792</v>
      </c>
      <c r="Z232" s="82">
        <f>Z$92/Population!AH$137</f>
        <v>0.92508757747237946</v>
      </c>
      <c r="AA232" s="82">
        <f>AA$92/Population!AI$137</f>
        <v>0.92549126637554591</v>
      </c>
      <c r="AB232" s="82">
        <f>AB$92/Population!AJ$137</f>
        <v>0.92595650977153865</v>
      </c>
      <c r="AC232" s="82">
        <f>AC$92/Population!AK$137</f>
        <v>0.92618579848442328</v>
      </c>
      <c r="AD232" s="82">
        <f>AD$92/Population!AL$137</f>
        <v>0.92630098452883258</v>
      </c>
      <c r="AE232" s="82">
        <f>AE$92/Population!AM$137</f>
        <v>0.92677410234662139</v>
      </c>
      <c r="AF232" s="82">
        <f>AF$92/Population!AN$137</f>
        <v>0.92711533091315279</v>
      </c>
      <c r="AG232" s="82">
        <f>AG$92/Population!AO$137</f>
        <v>0.92723778143876989</v>
      </c>
      <c r="AH232" s="82">
        <f>AH$92/Population!AP$137</f>
        <v>0.92725797728501891</v>
      </c>
      <c r="AI232" s="82">
        <f>AI$92/Population!AQ$137</f>
        <v>0.92763684913217626</v>
      </c>
      <c r="AJ232" s="82">
        <f>AJ$92/Population!AR$137</f>
        <v>0.92781597038603913</v>
      </c>
      <c r="AK232" s="82">
        <f>AK$92/Population!AS$137</f>
        <v>0.92802731809824013</v>
      </c>
      <c r="AL232" s="82">
        <f>AL$92/Population!AT$137</f>
        <v>0.92804814233385657</v>
      </c>
      <c r="AM232" s="82">
        <f>AM$92/Population!AU$137</f>
        <v>0.92819843342036557</v>
      </c>
      <c r="AN232" s="82">
        <f>AN$92/Population!AV$137</f>
        <v>0.92795614722004693</v>
      </c>
      <c r="AO232" s="82">
        <f>AO$92/Population!AW$137</f>
        <v>0.92810457516339873</v>
      </c>
      <c r="AP232" s="82">
        <f>AP$92/Population!AX$137</f>
        <v>0.92840283241542088</v>
      </c>
      <c r="AQ232" s="82">
        <f>AQ$92/Population!AY$137</f>
        <v>0.92836449828812218</v>
      </c>
      <c r="AR232" s="82">
        <f>AR$92/Population!AZ$137</f>
        <v>0.92851469420174737</v>
      </c>
      <c r="AS232" s="82">
        <f>AS$92/Population!BA$137</f>
        <v>0.92836218375499335</v>
      </c>
      <c r="AT232" s="82">
        <f>AT$92/Population!BB$137</f>
        <v>0.92843741624229426</v>
      </c>
      <c r="AU232" s="82">
        <f>AU$92/Population!BC$137</f>
        <v>0.92851362287564065</v>
      </c>
      <c r="AV232" s="82">
        <f>AV$92/Population!BD$137</f>
        <v>0.92835820895522392</v>
      </c>
      <c r="AW232" s="82">
        <f>AW$92/Population!BE$137</f>
        <v>0.92853246044735405</v>
      </c>
      <c r="AX232" s="82">
        <f>AX$92/Population!BF$137</f>
        <v>0.9285323110624315</v>
      </c>
      <c r="AY232" s="82">
        <f>AY$92/Population!BG$137</f>
        <v>0.92835575075487231</v>
      </c>
      <c r="AZ232" s="82">
        <f>AZ$92/Population!BH$137</f>
        <v>0.92855179994503989</v>
      </c>
      <c r="BA232" s="82">
        <f>BA$92/Population!BI$137</f>
        <v>0.92829670329670333</v>
      </c>
      <c r="BB232" s="82">
        <f>BB$92/Population!BJ$137</f>
        <v>0.92839506172839503</v>
      </c>
      <c r="BC232" s="82">
        <f>BC$92/Population!BK$137</f>
        <v>0.92827812756638384</v>
      </c>
      <c r="BD232" s="82">
        <f>BD$92/Population!BL$137</f>
        <v>0.92845439650464223</v>
      </c>
    </row>
    <row r="233" spans="3:56" x14ac:dyDescent="0.2">
      <c r="C233" s="28">
        <v>28</v>
      </c>
      <c r="E233" s="82">
        <f>E$93/Population!M$138</f>
        <v>0.90591935945095792</v>
      </c>
      <c r="F233" s="82">
        <f>F$93/Population!N$138</f>
        <v>0.90789126418580102</v>
      </c>
      <c r="G233" s="82">
        <f>G$93/Population!O$138</f>
        <v>0.90969816922315683</v>
      </c>
      <c r="H233" s="82">
        <f>H$93/Population!P$138</f>
        <v>0.91142020497803811</v>
      </c>
      <c r="I233" s="82">
        <f>I$93/Population!Q$138</f>
        <v>0.91307488562484951</v>
      </c>
      <c r="J233" s="82">
        <f>J$93/Population!R$138</f>
        <v>0.91462818003913893</v>
      </c>
      <c r="K233" s="82">
        <f>K$93/Population!S$138</f>
        <v>0.91617933723196876</v>
      </c>
      <c r="L233" s="82">
        <f>L$93/Population!T$138</f>
        <v>0.91742220044106837</v>
      </c>
      <c r="M233" s="82">
        <f>M$93/Population!U$138</f>
        <v>0.91871165644171782</v>
      </c>
      <c r="N233" s="82">
        <f>N$93/Population!V$138</f>
        <v>0.91969457609268035</v>
      </c>
      <c r="O233" s="82">
        <f>O$93/Population!W$138</f>
        <v>0.92098092643051777</v>
      </c>
      <c r="P233" s="82">
        <f>P$93/Population!X$138</f>
        <v>0.92182410423452765</v>
      </c>
      <c r="Q233" s="82">
        <f>Q$93/Population!Y$138</f>
        <v>0.92290313470770968</v>
      </c>
      <c r="R233" s="82">
        <f>R$93/Population!Z$138</f>
        <v>0.92353466230288606</v>
      </c>
      <c r="S233" s="82">
        <f>S$93/Population!AA$138</f>
        <v>0.92447219744275944</v>
      </c>
      <c r="T233" s="82">
        <f>T$93/Population!AB$138</f>
        <v>0.92526377491207501</v>
      </c>
      <c r="U233" s="82">
        <f>U$93/Population!AC$138</f>
        <v>0.92598053671483338</v>
      </c>
      <c r="V233" s="82">
        <f>V$93/Population!AD$138</f>
        <v>0.92658154381892044</v>
      </c>
      <c r="W233" s="82">
        <f>W$93/Population!AE$138</f>
        <v>0.9272274488101826</v>
      </c>
      <c r="X233" s="82">
        <f>X$93/Population!AF$138</f>
        <v>0.92765616657768291</v>
      </c>
      <c r="Y233" s="82">
        <f>Y$93/Population!AG$138</f>
        <v>0.92811839323467227</v>
      </c>
      <c r="Z233" s="82">
        <f>Z$93/Population!AH$138</f>
        <v>0.92847751774914544</v>
      </c>
      <c r="AA233" s="82">
        <f>AA$93/Population!AI$138</f>
        <v>0.92906852248394001</v>
      </c>
      <c r="AB233" s="82">
        <f>AB$93/Population!AJ$138</f>
        <v>0.92924911900243967</v>
      </c>
      <c r="AC233" s="82">
        <f>AC$93/Population!AK$138</f>
        <v>0.92974302897758343</v>
      </c>
      <c r="AD233" s="82">
        <f>AD$93/Population!AL$138</f>
        <v>0.92978545555865144</v>
      </c>
      <c r="AE233" s="82">
        <f>AE$93/Population!AM$138</f>
        <v>0.93016759776536317</v>
      </c>
      <c r="AF233" s="82">
        <f>AF$93/Population!AN$138</f>
        <v>0.93037619314991582</v>
      </c>
      <c r="AG233" s="82">
        <f>AG$93/Population!AO$138</f>
        <v>0.93067110371602879</v>
      </c>
      <c r="AH233" s="82">
        <f>AH$93/Population!AP$138</f>
        <v>0.93075245365321702</v>
      </c>
      <c r="AI233" s="82">
        <f>AI$93/Population!AQ$138</f>
        <v>0.93096964813322591</v>
      </c>
      <c r="AJ233" s="82">
        <f>AJ$93/Population!AR$138</f>
        <v>0.93103448275862066</v>
      </c>
      <c r="AK233" s="82">
        <f>AK$93/Population!AS$138</f>
        <v>0.93093487394957986</v>
      </c>
      <c r="AL233" s="82">
        <f>AL$93/Population!AT$138</f>
        <v>0.93112444560396557</v>
      </c>
      <c r="AM233" s="82">
        <f>AM$93/Population!AU$138</f>
        <v>0.93113305613305608</v>
      </c>
      <c r="AN233" s="82">
        <f>AN$93/Population!AV$138</f>
        <v>0.93127593360995853</v>
      </c>
      <c r="AO233" s="82">
        <f>AO$93/Population!AW$138</f>
        <v>0.93153526970954359</v>
      </c>
      <c r="AP233" s="82">
        <f>AP$93/Population!AX$138</f>
        <v>0.93142857142857138</v>
      </c>
      <c r="AQ233" s="82">
        <f>AQ$93/Population!AY$138</f>
        <v>0.93149257619171655</v>
      </c>
      <c r="AR233" s="82">
        <f>AR$93/Population!AZ$138</f>
        <v>0.9314674339523934</v>
      </c>
      <c r="AS233" s="82">
        <f>AS$93/Population!BA$138</f>
        <v>0.93163292137785958</v>
      </c>
      <c r="AT233" s="82">
        <f>AT$93/Population!BB$138</f>
        <v>0.93174603174603177</v>
      </c>
      <c r="AU233" s="82">
        <f>AU$93/Population!BC$138</f>
        <v>0.93157614483493079</v>
      </c>
      <c r="AV233" s="82">
        <f>AV$93/Population!BD$138</f>
        <v>0.93142244843289579</v>
      </c>
      <c r="AW233" s="82">
        <f>AW$93/Population!BE$138</f>
        <v>0.93155483697116681</v>
      </c>
      <c r="AX233" s="82">
        <f>AX$93/Population!BF$138</f>
        <v>0.93174431202600216</v>
      </c>
      <c r="AY233" s="82">
        <f>AY$93/Population!BG$138</f>
        <v>0.93148450244698211</v>
      </c>
      <c r="AZ233" s="82">
        <f>AZ$93/Population!BH$138</f>
        <v>0.93158898882529295</v>
      </c>
      <c r="BA233" s="82">
        <f>BA$93/Population!BI$138</f>
        <v>0.93151432469304229</v>
      </c>
      <c r="BB233" s="82">
        <f>BB$93/Population!BJ$138</f>
        <v>0.93153300600109112</v>
      </c>
      <c r="BC233" s="82">
        <f>BC$93/Population!BK$138</f>
        <v>0.9316262598746935</v>
      </c>
      <c r="BD233" s="82">
        <f>BD$93/Population!BL$138</f>
        <v>0.93150312584941564</v>
      </c>
    </row>
    <row r="234" spans="3:56" x14ac:dyDescent="0.2">
      <c r="C234" s="28">
        <v>29</v>
      </c>
      <c r="E234" s="82">
        <f>E$94/Population!M$139</f>
        <v>0.91211757648470304</v>
      </c>
      <c r="F234" s="82">
        <f>F$94/Population!N$139</f>
        <v>0.91411895497498608</v>
      </c>
      <c r="G234" s="82">
        <f>G$94/Population!O$139</f>
        <v>0.91587096774193544</v>
      </c>
      <c r="H234" s="82">
        <f>H$94/Population!P$139</f>
        <v>0.91753831184626611</v>
      </c>
      <c r="I234" s="82">
        <f>I$94/Population!Q$139</f>
        <v>0.91907514450867056</v>
      </c>
      <c r="J234" s="82">
        <f>J$94/Population!R$139</f>
        <v>0.92056297709923662</v>
      </c>
      <c r="K234" s="82">
        <f>K$94/Population!S$139</f>
        <v>0.92197722316452624</v>
      </c>
      <c r="L234" s="82">
        <f>L$94/Population!T$139</f>
        <v>0.92324402606806666</v>
      </c>
      <c r="M234" s="82">
        <f>M$94/Population!U$139</f>
        <v>0.92451456310679614</v>
      </c>
      <c r="N234" s="82">
        <f>N$94/Population!V$139</f>
        <v>0.92558845861807137</v>
      </c>
      <c r="O234" s="82">
        <f>O$94/Population!W$139</f>
        <v>0.92674661105318035</v>
      </c>
      <c r="P234" s="82">
        <f>P$94/Population!X$139</f>
        <v>0.92774332704232942</v>
      </c>
      <c r="Q234" s="82">
        <f>Q$94/Population!Y$139</f>
        <v>0.9285522428149342</v>
      </c>
      <c r="R234" s="82">
        <f>R$94/Population!Z$139</f>
        <v>0.92932960893854744</v>
      </c>
      <c r="S234" s="82">
        <f>S$94/Population!AA$139</f>
        <v>0.93029411764705883</v>
      </c>
      <c r="T234" s="82">
        <f>T$94/Population!AB$139</f>
        <v>0.93092298647854199</v>
      </c>
      <c r="U234" s="82">
        <f>U$94/Population!AC$139</f>
        <v>0.93161402492031298</v>
      </c>
      <c r="V234" s="82">
        <f>V$94/Population!AD$139</f>
        <v>0.93208976974642965</v>
      </c>
      <c r="W234" s="82">
        <f>W$94/Population!AE$139</f>
        <v>0.93285509325681493</v>
      </c>
      <c r="X234" s="82">
        <f>X$94/Population!AF$139</f>
        <v>0.93347933205584455</v>
      </c>
      <c r="Y234" s="82">
        <f>Y$94/Population!AG$139</f>
        <v>0.9336856010568032</v>
      </c>
      <c r="Z234" s="82">
        <f>Z$94/Population!AH$139</f>
        <v>0.93434475542767459</v>
      </c>
      <c r="AA234" s="82">
        <f>AA$94/Population!AI$139</f>
        <v>0.93466944299843835</v>
      </c>
      <c r="AB234" s="82">
        <f>AB$94/Population!AJ$139</f>
        <v>0.93509933774834442</v>
      </c>
      <c r="AC234" s="82">
        <f>AC$94/Population!AK$139</f>
        <v>0.93510324483775809</v>
      </c>
      <c r="AD234" s="82">
        <f>AD$94/Population!AL$139</f>
        <v>0.93537047052460787</v>
      </c>
      <c r="AE234" s="82">
        <f>AE$94/Population!AM$139</f>
        <v>0.93577728776185221</v>
      </c>
      <c r="AF234" s="82">
        <f>AF$94/Population!AN$139</f>
        <v>0.93591160220994474</v>
      </c>
      <c r="AG234" s="82">
        <f>AG$94/Population!AO$139</f>
        <v>0.93614658523042749</v>
      </c>
      <c r="AH234" s="82">
        <f>AH$94/Population!AP$139</f>
        <v>0.9363686231486561</v>
      </c>
      <c r="AI234" s="82">
        <f>AI$94/Population!AQ$139</f>
        <v>0.93660642028594554</v>
      </c>
      <c r="AJ234" s="82">
        <f>AJ$94/Population!AR$139</f>
        <v>0.93648684560191342</v>
      </c>
      <c r="AK234" s="82">
        <f>AK$94/Population!AS$139</f>
        <v>0.93674540682414698</v>
      </c>
      <c r="AL234" s="82">
        <f>AL$94/Population!AT$139</f>
        <v>0.93683389654276061</v>
      </c>
      <c r="AM234" s="82">
        <f>AM$94/Population!AU$139</f>
        <v>0.93698347107438018</v>
      </c>
      <c r="AN234" s="82">
        <f>AN$94/Population!AV$139</f>
        <v>0.93696938512992023</v>
      </c>
      <c r="AO234" s="82">
        <f>AO$94/Population!AW$139</f>
        <v>0.93709884467265725</v>
      </c>
      <c r="AP234" s="82">
        <f>AP$94/Population!AX$139</f>
        <v>0.93685831622176596</v>
      </c>
      <c r="AQ234" s="82">
        <f>AQ$94/Population!AY$139</f>
        <v>0.93701799485861181</v>
      </c>
      <c r="AR234" s="82">
        <f>AR$94/Population!AZ$139</f>
        <v>0.93709718999742198</v>
      </c>
      <c r="AS234" s="82">
        <f>AS$94/Population!BA$139</f>
        <v>0.93709552161532483</v>
      </c>
      <c r="AT234" s="82">
        <f>AT$94/Population!BB$139</f>
        <v>0.93702836325787142</v>
      </c>
      <c r="AU234" s="82">
        <f>AU$94/Population!BC$139</f>
        <v>0.93717277486910999</v>
      </c>
      <c r="AV234" s="82">
        <f>AV$94/Population!BD$139</f>
        <v>0.93730242360379346</v>
      </c>
      <c r="AW234" s="82">
        <f>AW$94/Population!BE$139</f>
        <v>0.93718526371587596</v>
      </c>
      <c r="AX234" s="82">
        <f>AX$94/Population!BF$139</f>
        <v>0.93708344441482272</v>
      </c>
      <c r="AY234" s="82">
        <f>AY$94/Population!BG$139</f>
        <v>0.93729903536977488</v>
      </c>
      <c r="AZ234" s="82">
        <f>AZ$94/Population!BH$139</f>
        <v>0.93706293706293708</v>
      </c>
      <c r="BA234" s="82">
        <f>BA$94/Population!BI$139</f>
        <v>0.93743257820927728</v>
      </c>
      <c r="BB234" s="82">
        <f>BB$94/Population!BJ$139</f>
        <v>0.93711201079622131</v>
      </c>
      <c r="BC234" s="82">
        <f>BC$94/Population!BK$139</f>
        <v>0.93712898003237988</v>
      </c>
      <c r="BD234" s="82">
        <f>BD$94/Population!BL$139</f>
        <v>0.93721368903260571</v>
      </c>
    </row>
    <row r="235" spans="3:56" x14ac:dyDescent="0.2">
      <c r="C235" s="28">
        <v>30</v>
      </c>
      <c r="E235" s="82">
        <f>E$95/Population!M$140</f>
        <v>0.91547545059042879</v>
      </c>
      <c r="F235" s="82">
        <f>F$95/Population!N$140</f>
        <v>0.91746864975211428</v>
      </c>
      <c r="G235" s="82">
        <f>G$95/Population!O$140</f>
        <v>0.91899972818700737</v>
      </c>
      <c r="H235" s="82">
        <f>H$95/Population!P$140</f>
        <v>0.92055837563451781</v>
      </c>
      <c r="I235" s="82">
        <f>I$95/Population!Q$140</f>
        <v>0.92191254204709272</v>
      </c>
      <c r="J235" s="82">
        <f>J$95/Population!R$140</f>
        <v>0.92335243553008595</v>
      </c>
      <c r="K235" s="82">
        <f>K$95/Population!S$140</f>
        <v>0.92455061494796598</v>
      </c>
      <c r="L235" s="82">
        <f>L$95/Population!T$140</f>
        <v>0.92577468171991351</v>
      </c>
      <c r="M235" s="82">
        <f>M$95/Population!U$140</f>
        <v>0.92701603254367071</v>
      </c>
      <c r="N235" s="82">
        <f>N$95/Population!V$140</f>
        <v>0.92805582290664101</v>
      </c>
      <c r="O235" s="82">
        <f>O$95/Population!W$140</f>
        <v>0.92901931276649108</v>
      </c>
      <c r="P235" s="82">
        <f>P$95/Population!X$140</f>
        <v>0.92977020397624577</v>
      </c>
      <c r="Q235" s="82">
        <f>Q$95/Population!Y$140</f>
        <v>0.93084112149532705</v>
      </c>
      <c r="R235" s="82">
        <f>R$95/Population!Z$140</f>
        <v>0.93163075285980312</v>
      </c>
      <c r="S235" s="82">
        <f>S$95/Population!AA$140</f>
        <v>0.93252212389380529</v>
      </c>
      <c r="T235" s="82">
        <f>T$95/Population!AB$140</f>
        <v>0.9327902240325866</v>
      </c>
      <c r="U235" s="82">
        <f>U$95/Population!AC$140</f>
        <v>0.93341087525443445</v>
      </c>
      <c r="V235" s="82">
        <f>V$95/Population!AD$140</f>
        <v>0.93405963302752293</v>
      </c>
      <c r="W235" s="82">
        <f>W$95/Population!AE$140</f>
        <v>0.93481396019613494</v>
      </c>
      <c r="X235" s="82">
        <f>X$95/Population!AF$140</f>
        <v>0.93526405451448036</v>
      </c>
      <c r="Y235" s="82">
        <f>Y$95/Population!AG$140</f>
        <v>0.93550135501355014</v>
      </c>
      <c r="Z235" s="82">
        <f>Z$95/Population!AH$140</f>
        <v>0.9358974358974359</v>
      </c>
      <c r="AA235" s="82">
        <f>AA$95/Population!AI$140</f>
        <v>0.93626943005181351</v>
      </c>
      <c r="AB235" s="82">
        <f>AB$95/Population!AJ$140</f>
        <v>0.93658159319412215</v>
      </c>
      <c r="AC235" s="82">
        <f>AC$95/Population!AK$140</f>
        <v>0.93704092339979017</v>
      </c>
      <c r="AD235" s="82">
        <f>AD$95/Population!AL$140</f>
        <v>0.937068507700478</v>
      </c>
      <c r="AE235" s="82">
        <f>AE$95/Population!AM$140</f>
        <v>0.9373493975903614</v>
      </c>
      <c r="AF235" s="82">
        <f>AF$95/Population!AN$140</f>
        <v>0.93751705320600276</v>
      </c>
      <c r="AG235" s="82">
        <f>AG$95/Population!AO$140</f>
        <v>0.93765381460213293</v>
      </c>
      <c r="AH235" s="82">
        <f>AH$95/Population!AP$140</f>
        <v>0.93789502610607312</v>
      </c>
      <c r="AI235" s="82">
        <f>AI$95/Population!AQ$140</f>
        <v>0.93809394515340749</v>
      </c>
      <c r="AJ235" s="82">
        <f>AJ$95/Population!AR$140</f>
        <v>0.93830128205128205</v>
      </c>
      <c r="AK235" s="82">
        <f>AK$95/Population!AS$140</f>
        <v>0.93815789473684208</v>
      </c>
      <c r="AL235" s="82">
        <f>AL$95/Population!AT$140</f>
        <v>0.93839355341824804</v>
      </c>
      <c r="AM235" s="82">
        <f>AM$95/Population!AU$140</f>
        <v>0.93846549948506697</v>
      </c>
      <c r="AN235" s="82">
        <f>AN$95/Population!AV$140</f>
        <v>0.93860322333077517</v>
      </c>
      <c r="AO235" s="82">
        <f>AO$95/Population!AW$140</f>
        <v>0.93858307849133538</v>
      </c>
      <c r="AP235" s="82">
        <f>AP$95/Population!AX$140</f>
        <v>0.93870803662258395</v>
      </c>
      <c r="AQ235" s="82">
        <f>AQ$95/Population!AY$140</f>
        <v>0.93872362064581749</v>
      </c>
      <c r="AR235" s="82">
        <f>AR$95/Population!AZ$140</f>
        <v>0.93862999745352682</v>
      </c>
      <c r="AS235" s="82">
        <f>AS$95/Population!BA$140</f>
        <v>0.93871297242083762</v>
      </c>
      <c r="AT235" s="82">
        <f>AT$95/Population!BB$140</f>
        <v>0.93871794871794867</v>
      </c>
      <c r="AU235" s="82">
        <f>AU$95/Population!BC$140</f>
        <v>0.93865979381443299</v>
      </c>
      <c r="AV235" s="82">
        <f>AV$95/Population!BD$140</f>
        <v>0.93881254861291163</v>
      </c>
      <c r="AW235" s="82">
        <f>AW$95/Population!BE$140</f>
        <v>0.93870631194574861</v>
      </c>
      <c r="AX235" s="82">
        <f>AX$95/Population!BF$140</f>
        <v>0.93884514435695543</v>
      </c>
      <c r="AY235" s="82">
        <f>AY$95/Population!BG$140</f>
        <v>0.93875395987328403</v>
      </c>
      <c r="AZ235" s="82">
        <f>AZ$95/Population!BH$140</f>
        <v>0.93897585566463249</v>
      </c>
      <c r="BA235" s="82">
        <f>BA$95/Population!BI$140</f>
        <v>0.93874833555259651</v>
      </c>
      <c r="BB235" s="82">
        <f>BB$95/Population!BJ$140</f>
        <v>0.93886812600106784</v>
      </c>
      <c r="BC235" s="82">
        <f>BC$95/Population!BK$140</f>
        <v>0.9388027792624265</v>
      </c>
      <c r="BD235" s="82">
        <f>BD$95/Population!BL$140</f>
        <v>0.93881912904087628</v>
      </c>
    </row>
    <row r="236" spans="3:56" x14ac:dyDescent="0.2">
      <c r="C236" s="28">
        <v>31</v>
      </c>
      <c r="E236" s="82">
        <f>E$96/Population!M$141</f>
        <v>0.91884057971014488</v>
      </c>
      <c r="F236" s="82">
        <f>F$96/Population!N$141</f>
        <v>0.92030303030303029</v>
      </c>
      <c r="G236" s="82">
        <f>G$96/Population!O$141</f>
        <v>0.92193308550185871</v>
      </c>
      <c r="H236" s="82">
        <f>H$96/Population!P$141</f>
        <v>0.92338601660862574</v>
      </c>
      <c r="I236" s="82">
        <f>I$96/Population!Q$141</f>
        <v>0.92489324290379304</v>
      </c>
      <c r="J236" s="82">
        <f>J$96/Population!R$141</f>
        <v>0.92623537837192649</v>
      </c>
      <c r="K236" s="82">
        <f>K$96/Population!S$141</f>
        <v>0.92740213523131676</v>
      </c>
      <c r="L236" s="82">
        <f>L$96/Population!T$141</f>
        <v>0.92855464159811985</v>
      </c>
      <c r="M236" s="82">
        <f>M$96/Population!U$141</f>
        <v>0.92959427207637235</v>
      </c>
      <c r="N236" s="82">
        <f>N$96/Population!V$141</f>
        <v>0.9305753685211603</v>
      </c>
      <c r="O236" s="82">
        <f>O$96/Population!W$141</f>
        <v>0.93162801816877838</v>
      </c>
      <c r="P236" s="82">
        <f>P$96/Population!X$141</f>
        <v>0.93250311332503111</v>
      </c>
      <c r="Q236" s="82">
        <f>Q$96/Population!Y$141</f>
        <v>0.93309407844142522</v>
      </c>
      <c r="R236" s="82">
        <f>R$96/Population!Z$141</f>
        <v>0.93400477073946464</v>
      </c>
      <c r="S236" s="82">
        <f>S$96/Population!AA$141</f>
        <v>0.9347768682334302</v>
      </c>
      <c r="T236" s="82">
        <f>T$96/Population!AB$141</f>
        <v>0.9352537722908093</v>
      </c>
      <c r="U236" s="82">
        <f>U$96/Population!AC$141</f>
        <v>0.93593073593073595</v>
      </c>
      <c r="V236" s="82">
        <f>V$96/Population!AD$141</f>
        <v>0.93654456302278632</v>
      </c>
      <c r="W236" s="82">
        <f>W$96/Population!AE$141</f>
        <v>0.93686006825938561</v>
      </c>
      <c r="X236" s="82">
        <f>X$96/Population!AF$141</f>
        <v>0.93735697940503437</v>
      </c>
      <c r="Y236" s="82">
        <f>Y$96/Population!AG$141</f>
        <v>0.93776401013798927</v>
      </c>
      <c r="Z236" s="82">
        <f>Z$96/Population!AH$141</f>
        <v>0.9381554181231514</v>
      </c>
      <c r="AA236" s="82">
        <f>AA$96/Population!AI$141</f>
        <v>0.93844155844155841</v>
      </c>
      <c r="AB236" s="82">
        <f>AB$96/Population!AJ$141</f>
        <v>0.93878600823045266</v>
      </c>
      <c r="AC236" s="82">
        <f>AC$96/Population!AK$141</f>
        <v>0.93908369593038132</v>
      </c>
      <c r="AD236" s="82">
        <f>AD$96/Population!AL$141</f>
        <v>0.93933871387659462</v>
      </c>
      <c r="AE236" s="82">
        <f>AE$96/Population!AM$141</f>
        <v>0.93964153927253558</v>
      </c>
      <c r="AF236" s="82">
        <f>AF$96/Population!AN$141</f>
        <v>0.9396757905926123</v>
      </c>
      <c r="AG236" s="82">
        <f>AG$96/Population!AO$141</f>
        <v>0.93963183540877093</v>
      </c>
      <c r="AH236" s="82">
        <f>AH$96/Population!AP$141</f>
        <v>0.94002713704206242</v>
      </c>
      <c r="AI236" s="82">
        <f>AI$96/Population!AQ$141</f>
        <v>0.94027815653122448</v>
      </c>
      <c r="AJ236" s="82">
        <f>AJ$96/Population!AR$141</f>
        <v>0.94019396551724133</v>
      </c>
      <c r="AK236" s="82">
        <f>AK$96/Population!AS$141</f>
        <v>0.94036575669228728</v>
      </c>
      <c r="AL236" s="82">
        <f>AL$96/Population!AT$141</f>
        <v>0.94043887147335425</v>
      </c>
      <c r="AM236" s="82">
        <f>AM$96/Population!AU$141</f>
        <v>0.94040247678018574</v>
      </c>
      <c r="AN236" s="82">
        <f>AN$96/Population!AV$141</f>
        <v>0.94071045233835926</v>
      </c>
      <c r="AO236" s="82">
        <f>AO$96/Population!AW$141</f>
        <v>0.9405789740985272</v>
      </c>
      <c r="AP236" s="82">
        <f>AP$96/Population!AX$141</f>
        <v>0.94080445231469767</v>
      </c>
      <c r="AQ236" s="82">
        <f>AQ$96/Population!AY$141</f>
        <v>0.94067154758899263</v>
      </c>
      <c r="AR236" s="82">
        <f>AR$96/Population!AZ$141</f>
        <v>0.9406865219586068</v>
      </c>
      <c r="AS236" s="82">
        <f>AS$96/Population!BA$141</f>
        <v>0.94084934277047527</v>
      </c>
      <c r="AT236" s="82">
        <f>AT$96/Population!BB$141</f>
        <v>0.94068441064638786</v>
      </c>
      <c r="AU236" s="82">
        <f>AU$96/Population!BC$141</f>
        <v>0.94069737846780355</v>
      </c>
      <c r="AV236" s="82">
        <f>AV$96/Population!BD$141</f>
        <v>0.94090560245587107</v>
      </c>
      <c r="AW236" s="82">
        <f>AW$96/Population!BE$141</f>
        <v>0.94081317550180132</v>
      </c>
      <c r="AX236" s="82">
        <f>AX$96/Population!BF$141</f>
        <v>0.94071964794201401</v>
      </c>
      <c r="AY236" s="82">
        <f>AY$96/Population!BG$141</f>
        <v>0.94087001823391503</v>
      </c>
      <c r="AZ236" s="82">
        <f>AZ$96/Population!BH$141</f>
        <v>0.9407911972753471</v>
      </c>
      <c r="BA236" s="82">
        <f>BA$96/Population!BI$141</f>
        <v>0.94102159031068988</v>
      </c>
      <c r="BB236" s="82">
        <f>BB$96/Population!BJ$141</f>
        <v>0.94080338266384778</v>
      </c>
      <c r="BC236" s="82">
        <f>BC$96/Population!BK$141</f>
        <v>0.94092715231788082</v>
      </c>
      <c r="BD236" s="82">
        <f>BD$96/Population!BL$141</f>
        <v>0.9408644921771413</v>
      </c>
    </row>
    <row r="237" spans="3:56" x14ac:dyDescent="0.2">
      <c r="C237" s="28">
        <v>32</v>
      </c>
      <c r="E237" s="82">
        <f>E$97/Population!M$142</f>
        <v>0.92184368737474953</v>
      </c>
      <c r="F237" s="82">
        <f>F$97/Population!N$142</f>
        <v>0.92324699936828802</v>
      </c>
      <c r="G237" s="82">
        <f>G$97/Population!O$142</f>
        <v>0.92475365780830099</v>
      </c>
      <c r="H237" s="82">
        <f>H$97/Population!P$142</f>
        <v>0.9261877828054299</v>
      </c>
      <c r="I237" s="82">
        <f>I$97/Population!Q$142</f>
        <v>0.92765957446808511</v>
      </c>
      <c r="J237" s="82">
        <f>J$97/Population!R$142</f>
        <v>0.92894671003252438</v>
      </c>
      <c r="K237" s="82">
        <f>K$97/Population!S$142</f>
        <v>0.93008323424494654</v>
      </c>
      <c r="L237" s="82">
        <f>L$97/Population!T$142</f>
        <v>0.93122193334909009</v>
      </c>
      <c r="M237" s="82">
        <f>M$97/Population!U$142</f>
        <v>0.93233434792788572</v>
      </c>
      <c r="N237" s="82">
        <f>N$97/Population!V$142</f>
        <v>0.9331906799809796</v>
      </c>
      <c r="O237" s="82">
        <f>O$97/Population!W$142</f>
        <v>0.93415442918048319</v>
      </c>
      <c r="P237" s="82">
        <f>P$97/Population!X$142</f>
        <v>0.93498452012383904</v>
      </c>
      <c r="Q237" s="82">
        <f>Q$97/Population!Y$142</f>
        <v>0.93574795336144878</v>
      </c>
      <c r="R237" s="82">
        <f>R$97/Population!Z$142</f>
        <v>0.93643094204748534</v>
      </c>
      <c r="S237" s="82">
        <f>S$97/Population!AA$142</f>
        <v>0.93720316622691291</v>
      </c>
      <c r="T237" s="82">
        <f>T$97/Population!AB$142</f>
        <v>0.93794372863528797</v>
      </c>
      <c r="U237" s="82">
        <f>U$97/Population!AC$142</f>
        <v>0.93826823272329962</v>
      </c>
      <c r="V237" s="82">
        <f>V$97/Population!AD$142</f>
        <v>0.93909796035621951</v>
      </c>
      <c r="W237" s="82">
        <f>W$97/Population!AE$142</f>
        <v>0.93915040183696896</v>
      </c>
      <c r="X237" s="82">
        <f>X$97/Population!AF$142</f>
        <v>0.9399773499433749</v>
      </c>
      <c r="Y237" s="82">
        <f>Y$97/Population!AG$142</f>
        <v>0.94020501138952162</v>
      </c>
      <c r="Z237" s="82">
        <f>Z$97/Population!AH$142</f>
        <v>0.94056630221474624</v>
      </c>
      <c r="AA237" s="82">
        <f>AA$97/Population!AI$142</f>
        <v>0.94082998661311912</v>
      </c>
      <c r="AB237" s="82">
        <f>AB$97/Population!AJ$142</f>
        <v>0.94103956555469359</v>
      </c>
      <c r="AC237" s="82">
        <f>AC$97/Population!AK$142</f>
        <v>0.94135723431498075</v>
      </c>
      <c r="AD237" s="82">
        <f>AD$97/Population!AL$142</f>
        <v>0.94164118246687056</v>
      </c>
      <c r="AE237" s="82">
        <f>AE$97/Population!AM$142</f>
        <v>0.94192377495462798</v>
      </c>
      <c r="AF237" s="82">
        <f>AF$97/Population!AN$142</f>
        <v>0.94200997113618468</v>
      </c>
      <c r="AG237" s="82">
        <f>AG$97/Population!AO$142</f>
        <v>0.94232804232804235</v>
      </c>
      <c r="AH237" s="82">
        <f>AH$97/Population!AP$142</f>
        <v>0.94258760107816708</v>
      </c>
      <c r="AI237" s="82">
        <f>AI$97/Population!AQ$142</f>
        <v>0.94246353322528365</v>
      </c>
      <c r="AJ237" s="82">
        <f>AJ$97/Population!AR$142</f>
        <v>0.94272529858849075</v>
      </c>
      <c r="AK237" s="82">
        <f>AK$97/Population!AS$142</f>
        <v>0.94286480686695284</v>
      </c>
      <c r="AL237" s="82">
        <f>AL$97/Population!AT$142</f>
        <v>0.94274406332453831</v>
      </c>
      <c r="AM237" s="82">
        <f>AM$97/Population!AU$142</f>
        <v>0.9430429128738621</v>
      </c>
      <c r="AN237" s="82">
        <f>AN$97/Population!AV$142</f>
        <v>0.94271769843308506</v>
      </c>
      <c r="AO237" s="82">
        <f>AO$97/Population!AW$142</f>
        <v>0.94300254452926213</v>
      </c>
      <c r="AP237" s="82">
        <f>AP$97/Population!AX$142</f>
        <v>0.94310998735777496</v>
      </c>
      <c r="AQ237" s="82">
        <f>AQ$97/Population!AY$142</f>
        <v>0.94307304785894208</v>
      </c>
      <c r="AR237" s="82">
        <f>AR$97/Population!AZ$142</f>
        <v>0.94318753142282552</v>
      </c>
      <c r="AS237" s="82">
        <f>AS$97/Population!BA$142</f>
        <v>0.94295049007288267</v>
      </c>
      <c r="AT237" s="82">
        <f>AT$97/Population!BB$142</f>
        <v>0.94311603322426374</v>
      </c>
      <c r="AU237" s="82">
        <f>AU$97/Population!BC$142</f>
        <v>0.94295810196870267</v>
      </c>
      <c r="AV237" s="82">
        <f>AV$97/Population!BD$142</f>
        <v>0.94298023314749113</v>
      </c>
      <c r="AW237" s="82">
        <f>AW$97/Population!BE$142</f>
        <v>0.94319918492103927</v>
      </c>
      <c r="AX237" s="82">
        <f>AX$97/Population!BF$142</f>
        <v>0.94313524590163933</v>
      </c>
      <c r="AY237" s="82">
        <f>AY$97/Population!BG$142</f>
        <v>0.94304123711340204</v>
      </c>
      <c r="AZ237" s="82">
        <f>AZ$97/Population!BH$142</f>
        <v>0.94320539419087135</v>
      </c>
      <c r="BA237" s="82">
        <f>BA$97/Population!BI$142</f>
        <v>0.94314032342201359</v>
      </c>
      <c r="BB237" s="82">
        <f>BB$97/Population!BJ$142</f>
        <v>0.94313417190775684</v>
      </c>
      <c r="BC237" s="82">
        <f>BC$97/Population!BK$142</f>
        <v>0.94317284925019729</v>
      </c>
      <c r="BD237" s="82">
        <f>BD$97/Population!BL$142</f>
        <v>0.94330168776371304</v>
      </c>
    </row>
    <row r="238" spans="3:56" x14ac:dyDescent="0.2">
      <c r="C238" s="28">
        <v>33</v>
      </c>
      <c r="E238" s="82">
        <f>E$98/Population!M$143</f>
        <v>0.92331081081081079</v>
      </c>
      <c r="F238" s="82">
        <f>F$98/Population!N$143</f>
        <v>0.92504930966469423</v>
      </c>
      <c r="G238" s="82">
        <f>G$98/Population!O$143</f>
        <v>0.9263650546021841</v>
      </c>
      <c r="H238" s="82">
        <f>H$98/Population!P$143</f>
        <v>0.92776791000592063</v>
      </c>
      <c r="I238" s="82">
        <f>I$98/Population!Q$143</f>
        <v>0.92885264341957252</v>
      </c>
      <c r="J238" s="82">
        <f>J$98/Population!R$143</f>
        <v>0.92999204455051709</v>
      </c>
      <c r="K238" s="82">
        <f>K$98/Population!S$143</f>
        <v>0.93137010232093831</v>
      </c>
      <c r="L238" s="82">
        <f>L$98/Population!T$143</f>
        <v>0.93238434163701067</v>
      </c>
      <c r="M238" s="82">
        <f>M$98/Population!U$143</f>
        <v>0.93327045508134876</v>
      </c>
      <c r="N238" s="82">
        <f>N$98/Population!V$143</f>
        <v>0.93412754029432377</v>
      </c>
      <c r="O238" s="82">
        <f>O$98/Population!W$143</f>
        <v>0.9350094876660342</v>
      </c>
      <c r="P238" s="82">
        <f>P$98/Population!X$143</f>
        <v>0.93574297188755018</v>
      </c>
      <c r="Q238" s="82">
        <f>Q$98/Population!Y$143</f>
        <v>0.93657957244655587</v>
      </c>
      <c r="R238" s="82">
        <f>R$98/Population!Z$143</f>
        <v>0.93715982187036118</v>
      </c>
      <c r="S238" s="82">
        <f>S$98/Population!AA$143</f>
        <v>0.93786605551311431</v>
      </c>
      <c r="T238" s="82">
        <f>T$98/Population!AB$143</f>
        <v>0.93842105263157893</v>
      </c>
      <c r="U238" s="82">
        <f>U$98/Population!AC$143</f>
        <v>0.9389092815941269</v>
      </c>
      <c r="V238" s="82">
        <f>V$98/Population!AD$143</f>
        <v>0.93927015250544665</v>
      </c>
      <c r="W238" s="82">
        <f>W$98/Population!AE$143</f>
        <v>0.93987975951903813</v>
      </c>
      <c r="X238" s="82">
        <f>X$98/Population!AF$143</f>
        <v>0.94020028612303286</v>
      </c>
      <c r="Y238" s="82">
        <f>Y$98/Population!AG$143</f>
        <v>0.94046275395033863</v>
      </c>
      <c r="Z238" s="82">
        <f>Z$98/Population!AH$143</f>
        <v>0.94097616345062429</v>
      </c>
      <c r="AA238" s="82">
        <f>AA$98/Population!AI$143</f>
        <v>0.94130799329234205</v>
      </c>
      <c r="AB238" s="82">
        <f>AB$98/Population!AJ$143</f>
        <v>0.94153764014949282</v>
      </c>
      <c r="AC238" s="82">
        <f>AC$98/Population!AK$143</f>
        <v>0.94172253739040745</v>
      </c>
      <c r="AD238" s="82">
        <f>AD$98/Population!AL$143</f>
        <v>0.94203268641470894</v>
      </c>
      <c r="AE238" s="82">
        <f>AE$98/Population!AM$143</f>
        <v>0.94231257941550195</v>
      </c>
      <c r="AF238" s="82">
        <f>AF$98/Population!AN$143</f>
        <v>0.94236236753683122</v>
      </c>
      <c r="AG238" s="82">
        <f>AG$98/Population!AO$143</f>
        <v>0.94243851386708533</v>
      </c>
      <c r="AH238" s="82">
        <f>AH$98/Population!AP$143</f>
        <v>0.94275916644684776</v>
      </c>
      <c r="AI238" s="82">
        <f>AI$98/Population!AQ$143</f>
        <v>0.94277270284793124</v>
      </c>
      <c r="AJ238" s="82">
        <f>AJ$98/Population!AR$143</f>
        <v>0.94290331268516026</v>
      </c>
      <c r="AK238" s="82">
        <f>AK$98/Population!AS$143</f>
        <v>0.94291125541125542</v>
      </c>
      <c r="AL238" s="82">
        <f>AL$98/Population!AT$143</f>
        <v>0.94304812834224594</v>
      </c>
      <c r="AM238" s="82">
        <f>AM$98/Population!AU$143</f>
        <v>0.94317284925019729</v>
      </c>
      <c r="AN238" s="82">
        <f>AN$98/Population!AV$143</f>
        <v>0.94322011926367644</v>
      </c>
      <c r="AO238" s="82">
        <f>AO$98/Population!AW$143</f>
        <v>0.94313524590163933</v>
      </c>
      <c r="AP238" s="82">
        <f>AP$98/Population!AX$143</f>
        <v>0.94341537680791676</v>
      </c>
      <c r="AQ238" s="82">
        <f>AQ$98/Population!AY$143</f>
        <v>0.94328207713637513</v>
      </c>
      <c r="AR238" s="82">
        <f>AR$98/Population!AZ$143</f>
        <v>0.94324460070316429</v>
      </c>
      <c r="AS238" s="82">
        <f>AS$98/Population!BA$143</f>
        <v>0.94310776942355889</v>
      </c>
      <c r="AT238" s="82">
        <f>AT$98/Population!BB$143</f>
        <v>0.94335839598997495</v>
      </c>
      <c r="AU238" s="82">
        <f>AU$98/Population!BC$143</f>
        <v>0.94328732747804267</v>
      </c>
      <c r="AV238" s="82">
        <f>AV$98/Population!BD$143</f>
        <v>0.94336773219229797</v>
      </c>
      <c r="AW238" s="82">
        <f>AW$98/Population!BE$143</f>
        <v>0.94315310763011617</v>
      </c>
      <c r="AX238" s="82">
        <f>AX$98/Population!BF$143</f>
        <v>0.9433722701879127</v>
      </c>
      <c r="AY238" s="82">
        <f>AY$98/Population!BG$143</f>
        <v>0.94355044699872281</v>
      </c>
      <c r="AZ238" s="82">
        <f>AZ$98/Population!BH$143</f>
        <v>0.94345926497044463</v>
      </c>
      <c r="BA238" s="82">
        <f>BA$98/Population!BI$143</f>
        <v>0.94338159255429166</v>
      </c>
      <c r="BB238" s="82">
        <f>BB$98/Population!BJ$143</f>
        <v>0.94331773270930841</v>
      </c>
      <c r="BC238" s="82">
        <f>BC$98/Population!BK$143</f>
        <v>0.94355892343872483</v>
      </c>
      <c r="BD238" s="82">
        <f>BD$98/Population!BL$143</f>
        <v>0.94335169158143195</v>
      </c>
    </row>
    <row r="239" spans="3:56" x14ac:dyDescent="0.2">
      <c r="C239" s="28">
        <v>34</v>
      </c>
      <c r="E239" s="82">
        <f>E$99/Population!M$144</f>
        <v>0.92407660738714092</v>
      </c>
      <c r="F239" s="82">
        <f>F$99/Population!N$144</f>
        <v>0.92545757071547419</v>
      </c>
      <c r="G239" s="82">
        <f>G$99/Population!O$144</f>
        <v>0.92692432607989605</v>
      </c>
      <c r="H239" s="82">
        <f>H$99/Population!P$144</f>
        <v>0.92793071450665021</v>
      </c>
      <c r="I239" s="82">
        <f>I$99/Population!Q$144</f>
        <v>0.9290759270158917</v>
      </c>
      <c r="J239" s="82">
        <f>J$99/Population!R$144</f>
        <v>0.93045429052159279</v>
      </c>
      <c r="K239" s="82">
        <f>K$99/Population!S$144</f>
        <v>0.93149960327955572</v>
      </c>
      <c r="L239" s="82">
        <f>L$99/Population!T$144</f>
        <v>0.93230462916874068</v>
      </c>
      <c r="M239" s="82">
        <f>M$99/Population!U$144</f>
        <v>0.93325443786982254</v>
      </c>
      <c r="N239" s="82">
        <f>N$99/Population!V$144</f>
        <v>0.93413314514231949</v>
      </c>
      <c r="O239" s="82">
        <f>O$99/Population!W$144</f>
        <v>0.93476234855545204</v>
      </c>
      <c r="P239" s="82">
        <f>P$99/Population!X$144</f>
        <v>0.93565176247929971</v>
      </c>
      <c r="Q239" s="82">
        <f>Q$99/Population!Y$144</f>
        <v>0.93613009662974311</v>
      </c>
      <c r="R239" s="82">
        <f>R$99/Population!Z$144</f>
        <v>0.93696682464454972</v>
      </c>
      <c r="S239" s="82">
        <f>S$99/Population!AA$144</f>
        <v>0.93756169792694966</v>
      </c>
      <c r="T239" s="82">
        <f>T$99/Population!AB$144</f>
        <v>0.93803961401726765</v>
      </c>
      <c r="U239" s="82">
        <f>U$99/Population!AC$144</f>
        <v>0.93859879296772497</v>
      </c>
      <c r="V239" s="82">
        <f>V$99/Population!AD$144</f>
        <v>0.93882352941176472</v>
      </c>
      <c r="W239" s="82">
        <f>W$99/Population!AE$144</f>
        <v>0.93918001629106707</v>
      </c>
      <c r="X239" s="82">
        <f>X$99/Population!AF$144</f>
        <v>0.93949771689497719</v>
      </c>
      <c r="Y239" s="82">
        <f>Y$99/Population!AG$144</f>
        <v>0.94010268111808326</v>
      </c>
      <c r="Z239" s="82">
        <f>Z$99/Population!AH$144</f>
        <v>0.940365682137834</v>
      </c>
      <c r="AA239" s="82">
        <f>AA$99/Population!AI$144</f>
        <v>0.94059405940594054</v>
      </c>
      <c r="AB239" s="82">
        <f>AB$99/Population!AJ$144</f>
        <v>0.94066852367688025</v>
      </c>
      <c r="AC239" s="82">
        <f>AC$99/Population!AK$144</f>
        <v>0.94092602448110696</v>
      </c>
      <c r="AD239" s="82">
        <f>AD$99/Population!AL$144</f>
        <v>0.94111596811519671</v>
      </c>
      <c r="AE239" s="82">
        <f>AE$99/Population!AM$144</f>
        <v>0.94143111790170608</v>
      </c>
      <c r="AF239" s="82">
        <f>AF$99/Population!AN$144</f>
        <v>0.94171312721743539</v>
      </c>
      <c r="AG239" s="82">
        <f>AG$99/Population!AO$144</f>
        <v>0.94175257731958761</v>
      </c>
      <c r="AH239" s="82">
        <f>AH$99/Population!AP$144</f>
        <v>0.94182102791547095</v>
      </c>
      <c r="AI239" s="82">
        <f>AI$99/Population!AQ$144</f>
        <v>0.94188798317118061</v>
      </c>
      <c r="AJ239" s="82">
        <f>AJ$99/Population!AR$144</f>
        <v>0.94213769086525578</v>
      </c>
      <c r="AK239" s="82">
        <f>AK$99/Population!AS$144</f>
        <v>0.94201342281879197</v>
      </c>
      <c r="AL239" s="82">
        <f>AL$99/Population!AT$144</f>
        <v>0.94227137847315889</v>
      </c>
      <c r="AM239" s="82">
        <f>AM$99/Population!AU$144</f>
        <v>0.94241535590509196</v>
      </c>
      <c r="AN239" s="82">
        <f>AN$99/Population!AV$144</f>
        <v>0.9423026488329399</v>
      </c>
      <c r="AO239" s="82">
        <f>AO$99/Population!AW$144</f>
        <v>0.94234746639089972</v>
      </c>
      <c r="AP239" s="82">
        <f>AP$99/Population!AX$144</f>
        <v>0.94228804902962204</v>
      </c>
      <c r="AQ239" s="82">
        <f>AQ$99/Population!AY$144</f>
        <v>0.94232228687073105</v>
      </c>
      <c r="AR239" s="82">
        <f>AR$99/Population!AZ$144</f>
        <v>0.94243338360985418</v>
      </c>
      <c r="AS239" s="82">
        <f>AS$99/Population!BA$144</f>
        <v>0.94239919859754573</v>
      </c>
      <c r="AT239" s="82">
        <f>AT$99/Population!BB$144</f>
        <v>0.94251437140714822</v>
      </c>
      <c r="AU239" s="82">
        <f>AU$99/Population!BC$144</f>
        <v>0.94252873563218387</v>
      </c>
      <c r="AV239" s="82">
        <f>AV$99/Population!BD$144</f>
        <v>0.94244244244244246</v>
      </c>
      <c r="AW239" s="82">
        <f>AW$99/Population!BE$144</f>
        <v>0.94253450439146802</v>
      </c>
      <c r="AX239" s="82">
        <f>AX$99/Population!BF$144</f>
        <v>0.94255479969765688</v>
      </c>
      <c r="AY239" s="82">
        <f>AY$99/Population!BG$144</f>
        <v>0.94227848101265821</v>
      </c>
      <c r="AZ239" s="82">
        <f>AZ$99/Population!BH$144</f>
        <v>0.94244970715558951</v>
      </c>
      <c r="BA239" s="82">
        <f>BA$99/Population!BI$144</f>
        <v>0.94260825006405324</v>
      </c>
      <c r="BB239" s="82">
        <f>BB$99/Population!BJ$144</f>
        <v>0.94252577319587627</v>
      </c>
      <c r="BC239" s="82">
        <f>BC$99/Population!BK$144</f>
        <v>0.94245723172628304</v>
      </c>
      <c r="BD239" s="82">
        <f>BD$99/Population!BL$144</f>
        <v>0.94269340974212035</v>
      </c>
    </row>
    <row r="240" spans="3:56" x14ac:dyDescent="0.2">
      <c r="C240" s="28">
        <v>35</v>
      </c>
      <c r="E240" s="82">
        <f>E$100/Population!M$145</f>
        <v>0.92416725726435156</v>
      </c>
      <c r="F240" s="82">
        <f>F$100/Population!N$145</f>
        <v>0.92580101180438445</v>
      </c>
      <c r="G240" s="82">
        <f>G$100/Population!O$145</f>
        <v>0.92692560895325871</v>
      </c>
      <c r="H240" s="82">
        <f>H$100/Population!P$145</f>
        <v>0.92783505154639179</v>
      </c>
      <c r="I240" s="82">
        <f>I$100/Population!Q$145</f>
        <v>0.92892307692307696</v>
      </c>
      <c r="J240" s="82">
        <f>J$100/Population!R$145</f>
        <v>0.9301438215438802</v>
      </c>
      <c r="K240" s="82">
        <f>K$100/Population!S$145</f>
        <v>0.93092841163310958</v>
      </c>
      <c r="L240" s="82">
        <f>L$100/Population!T$145</f>
        <v>0.93168029543656028</v>
      </c>
      <c r="M240" s="82">
        <f>M$100/Population!U$145</f>
        <v>0.93270424633722371</v>
      </c>
      <c r="N240" s="82">
        <f>N$100/Population!V$145</f>
        <v>0.93341204250295162</v>
      </c>
      <c r="O240" s="82">
        <f>O$100/Population!W$145</f>
        <v>0.93405303919267779</v>
      </c>
      <c r="P240" s="82">
        <f>P$100/Population!X$145</f>
        <v>0.93489886073006279</v>
      </c>
      <c r="Q240" s="82">
        <f>Q$100/Population!Y$145</f>
        <v>0.93555240793201133</v>
      </c>
      <c r="R240" s="82">
        <f>R$100/Population!Z$145</f>
        <v>0.93626528692380051</v>
      </c>
      <c r="S240" s="82">
        <f>S$100/Population!AA$145</f>
        <v>0.93664302600472815</v>
      </c>
      <c r="T240" s="82">
        <f>T$100/Population!AB$145</f>
        <v>0.93722304283604141</v>
      </c>
      <c r="U240" s="82">
        <f>U$100/Population!AC$145</f>
        <v>0.93768996960486317</v>
      </c>
      <c r="V240" s="82">
        <f>V$100/Population!AD$145</f>
        <v>0.93797435226380532</v>
      </c>
      <c r="W240" s="82">
        <f>W$100/Population!AE$145</f>
        <v>0.93846153846153846</v>
      </c>
      <c r="X240" s="82">
        <f>X$100/Population!AF$145</f>
        <v>0.93880314107771456</v>
      </c>
      <c r="Y240" s="82">
        <f>Y$100/Population!AG$145</f>
        <v>0.93910073989755261</v>
      </c>
      <c r="Z240" s="82">
        <f>Z$100/Population!AH$145</f>
        <v>0.93941979522184305</v>
      </c>
      <c r="AA240" s="82">
        <f>AA$100/Population!AI$145</f>
        <v>0.93969144460028053</v>
      </c>
      <c r="AB240" s="82">
        <f>AB$100/Population!AJ$145</f>
        <v>0.93991537376586742</v>
      </c>
      <c r="AC240" s="82">
        <f>AC$100/Population!AK$145</f>
        <v>0.94</v>
      </c>
      <c r="AD240" s="82">
        <f>AD$100/Population!AL$145</f>
        <v>0.9402866242038217</v>
      </c>
      <c r="AE240" s="82">
        <f>AE$100/Population!AM$145</f>
        <v>0.94049756347781488</v>
      </c>
      <c r="AF240" s="82">
        <f>AF$100/Population!AN$145</f>
        <v>0.94056388112776224</v>
      </c>
      <c r="AG240" s="82">
        <f>AG$100/Population!AO$145</f>
        <v>0.94061157442506949</v>
      </c>
      <c r="AH240" s="82">
        <f>AH$100/Population!AP$145</f>
        <v>0.94087403598971719</v>
      </c>
      <c r="AI240" s="82">
        <f>AI$100/Population!AQ$145</f>
        <v>0.94094693028095733</v>
      </c>
      <c r="AJ240" s="82">
        <f>AJ$100/Population!AR$145</f>
        <v>0.94099134539732499</v>
      </c>
      <c r="AK240" s="82">
        <f>AK$100/Population!AS$145</f>
        <v>0.94097222222222221</v>
      </c>
      <c r="AL240" s="82">
        <f>AL$100/Population!AT$145</f>
        <v>0.94136546184738956</v>
      </c>
      <c r="AM240" s="82">
        <f>AM$100/Population!AU$145</f>
        <v>0.94109736417428724</v>
      </c>
      <c r="AN240" s="82">
        <f>AN$100/Population!AV$145</f>
        <v>0.94125465178096757</v>
      </c>
      <c r="AO240" s="82">
        <f>AO$100/Population!AW$145</f>
        <v>0.94116108786610875</v>
      </c>
      <c r="AP240" s="82">
        <f>AP$100/Population!AX$145</f>
        <v>0.94122196442382056</v>
      </c>
      <c r="AQ240" s="82">
        <f>AQ$100/Population!AY$145</f>
        <v>0.94141619969434542</v>
      </c>
      <c r="AR240" s="82">
        <f>AR$100/Population!AZ$145</f>
        <v>0.94122098890010086</v>
      </c>
      <c r="AS240" s="82">
        <f>AS$100/Population!BA$145</f>
        <v>0.94133868137377785</v>
      </c>
      <c r="AT240" s="82">
        <f>AT$100/Population!BB$145</f>
        <v>0.94130869130869133</v>
      </c>
      <c r="AU240" s="82">
        <f>AU$100/Population!BC$145</f>
        <v>0.9414257228315055</v>
      </c>
      <c r="AV240" s="82">
        <f>AV$100/Population!BD$145</f>
        <v>0.9414403189633691</v>
      </c>
      <c r="AW240" s="82">
        <f>AW$100/Population!BE$145</f>
        <v>0.9413526328924382</v>
      </c>
      <c r="AX240" s="82">
        <f>AX$100/Population!BF$145</f>
        <v>0.94144144144144148</v>
      </c>
      <c r="AY240" s="82">
        <f>AY$100/Population!BG$145</f>
        <v>0.94145728643216076</v>
      </c>
      <c r="AZ240" s="82">
        <f>AZ$100/Population!BH$145</f>
        <v>0.94141414141414137</v>
      </c>
      <c r="BA240" s="82">
        <f>BA$100/Population!BI$145</f>
        <v>0.94134078212290506</v>
      </c>
      <c r="BB240" s="82">
        <f>BB$100/Population!BJ$145</f>
        <v>0.94149207971384774</v>
      </c>
      <c r="BC240" s="82">
        <f>BC$100/Population!BK$145</f>
        <v>0.94140323824209715</v>
      </c>
      <c r="BD240" s="82">
        <f>BD$100/Population!BL$145</f>
        <v>0.9413285086585681</v>
      </c>
    </row>
    <row r="241" spans="3:56" x14ac:dyDescent="0.2">
      <c r="C241" s="28">
        <v>36</v>
      </c>
      <c r="E241" s="82">
        <f>E$101/Population!M$146</f>
        <v>0.92373485388453314</v>
      </c>
      <c r="F241" s="82">
        <f>F$101/Population!N$146</f>
        <v>0.92517482517482519</v>
      </c>
      <c r="G241" s="82">
        <f>G$101/Population!O$146</f>
        <v>0.92623497997329773</v>
      </c>
      <c r="H241" s="82">
        <f>H$101/Population!P$146</f>
        <v>0.92780137210062075</v>
      </c>
      <c r="I241" s="82">
        <f>I$101/Population!Q$146</f>
        <v>0.92884615384615388</v>
      </c>
      <c r="J241" s="82">
        <f>J$101/Population!R$146</f>
        <v>0.93001841620626147</v>
      </c>
      <c r="K241" s="82">
        <f>K$101/Population!S$146</f>
        <v>0.93062060889929743</v>
      </c>
      <c r="L241" s="82">
        <f>L$101/Population!T$146</f>
        <v>0.931640625</v>
      </c>
      <c r="M241" s="82">
        <f>M$101/Population!U$146</f>
        <v>0.93235061858383783</v>
      </c>
      <c r="N241" s="82">
        <f>N$101/Population!V$146</f>
        <v>0.93333333333333335</v>
      </c>
      <c r="O241" s="82">
        <f>O$101/Population!W$146</f>
        <v>0.93399339933993397</v>
      </c>
      <c r="P241" s="82">
        <f>P$101/Population!X$146</f>
        <v>0.93462980318650424</v>
      </c>
      <c r="Q241" s="82">
        <f>Q$101/Population!Y$146</f>
        <v>0.93525179856115104</v>
      </c>
      <c r="R241" s="82">
        <f>R$101/Population!Z$146</f>
        <v>0.93590951932139488</v>
      </c>
      <c r="S241" s="82">
        <f>S$101/Population!AA$146</f>
        <v>0.93638497652582164</v>
      </c>
      <c r="T241" s="82">
        <f>T$101/Population!AB$146</f>
        <v>0.93676262387918829</v>
      </c>
      <c r="U241" s="82">
        <f>U$101/Population!AC$146</f>
        <v>0.9373464373464373</v>
      </c>
      <c r="V241" s="82">
        <f>V$101/Population!AD$146</f>
        <v>0.93781597573306374</v>
      </c>
      <c r="W241" s="82">
        <f>W$101/Population!AE$146</f>
        <v>0.93812010443864224</v>
      </c>
      <c r="X241" s="82">
        <f>X$101/Population!AF$146</f>
        <v>0.93834547346514052</v>
      </c>
      <c r="Y241" s="82">
        <f>Y$101/Population!AG$146</f>
        <v>0.93868179362506754</v>
      </c>
      <c r="Z241" s="82">
        <f>Z$101/Population!AH$146</f>
        <v>0.93897246664774336</v>
      </c>
      <c r="AA241" s="82">
        <f>AA$101/Population!AI$146</f>
        <v>0.93929078014184397</v>
      </c>
      <c r="AB241" s="82">
        <f>AB$101/Population!AJ$146</f>
        <v>0.93956351426972584</v>
      </c>
      <c r="AC241" s="82">
        <f>AC$101/Population!AK$146</f>
        <v>0.93978615644344399</v>
      </c>
      <c r="AD241" s="82">
        <f>AD$101/Population!AL$146</f>
        <v>0.93987254087004712</v>
      </c>
      <c r="AE241" s="82">
        <f>AE$101/Population!AM$146</f>
        <v>0.94016415144294418</v>
      </c>
      <c r="AF241" s="82">
        <f>AF$101/Population!AN$146</f>
        <v>0.94037871033776865</v>
      </c>
      <c r="AG241" s="82">
        <f>AG$101/Population!AO$146</f>
        <v>0.94044602128737964</v>
      </c>
      <c r="AH241" s="82">
        <f>AH$101/Population!AP$146</f>
        <v>0.94073139974779318</v>
      </c>
      <c r="AI241" s="82">
        <f>AI$101/Population!AQ$146</f>
        <v>0.94075403949730696</v>
      </c>
      <c r="AJ241" s="82">
        <f>AJ$101/Population!AR$146</f>
        <v>0.94056579288865816</v>
      </c>
      <c r="AK241" s="82">
        <f>AK$101/Population!AS$146</f>
        <v>0.94086865515436946</v>
      </c>
      <c r="AL241" s="82">
        <f>AL$101/Population!AT$146</f>
        <v>0.94084732214228617</v>
      </c>
      <c r="AM241" s="82">
        <f>AM$101/Population!AU$146</f>
        <v>0.9407209612817089</v>
      </c>
      <c r="AN241" s="82">
        <f>AN$101/Population!AV$146</f>
        <v>0.94097129058223772</v>
      </c>
      <c r="AO241" s="82">
        <f>AO$101/Population!AW$146</f>
        <v>0.9411296738265712</v>
      </c>
      <c r="AP241" s="82">
        <f>AP$101/Population!AX$146</f>
        <v>0.94103835116097057</v>
      </c>
      <c r="AQ241" s="82">
        <f>AQ$101/Population!AY$146</f>
        <v>0.94110082304526754</v>
      </c>
      <c r="AR241" s="82">
        <f>AR$101/Population!AZ$146</f>
        <v>0.94129606099110541</v>
      </c>
      <c r="AS241" s="82">
        <f>AS$101/Population!BA$146</f>
        <v>0.94110244147998989</v>
      </c>
      <c r="AT241" s="82">
        <f>AT$101/Population!BB$146</f>
        <v>0.94122061030515258</v>
      </c>
      <c r="AU241" s="82">
        <f>AU$101/Population!BC$146</f>
        <v>0.9411911288312983</v>
      </c>
      <c r="AV241" s="82">
        <f>AV$101/Population!BD$146</f>
        <v>0.94105943795075853</v>
      </c>
      <c r="AW241" s="82">
        <f>AW$101/Population!BE$146</f>
        <v>0.94107409249129781</v>
      </c>
      <c r="AX241" s="82">
        <f>AX$101/Population!BF$146</f>
        <v>0.94123505976095623</v>
      </c>
      <c r="AY241" s="82">
        <f>AY$101/Population!BG$146</f>
        <v>0.94132334581772781</v>
      </c>
      <c r="AZ241" s="82">
        <f>AZ$101/Population!BH$146</f>
        <v>0.94133868137377785</v>
      </c>
      <c r="BA241" s="82">
        <f>BA$101/Population!BI$146</f>
        <v>0.94105793450881614</v>
      </c>
      <c r="BB241" s="82">
        <f>BB$101/Population!BJ$146</f>
        <v>0.94122118064352678</v>
      </c>
      <c r="BC241" s="82">
        <f>BC$101/Population!BK$146</f>
        <v>0.94113149847094801</v>
      </c>
      <c r="BD241" s="82">
        <f>BD$101/Population!BL$146</f>
        <v>0.94128205128205134</v>
      </c>
    </row>
    <row r="242" spans="3:56" x14ac:dyDescent="0.2">
      <c r="C242" s="28">
        <v>37</v>
      </c>
      <c r="E242" s="82">
        <f>E$102/Population!M$147</f>
        <v>0.92369477911646591</v>
      </c>
      <c r="F242" s="82">
        <f>F$102/Population!N$147</f>
        <v>0.92500000000000004</v>
      </c>
      <c r="G242" s="82">
        <f>G$102/Population!O$147</f>
        <v>0.92624653739612184</v>
      </c>
      <c r="H242" s="82">
        <f>H$102/Population!P$147</f>
        <v>0.92741133576400403</v>
      </c>
      <c r="I242" s="82">
        <f>I$102/Population!Q$147</f>
        <v>0.92847854356306891</v>
      </c>
      <c r="J242" s="82">
        <f>J$102/Population!R$147</f>
        <v>0.92996482251359125</v>
      </c>
      <c r="K242" s="82">
        <f>K$102/Population!S$147</f>
        <v>0.93080220453153706</v>
      </c>
      <c r="L242" s="82">
        <f>L$102/Population!T$147</f>
        <v>0.93163891323400527</v>
      </c>
      <c r="M242" s="82">
        <f>M$102/Population!U$147</f>
        <v>0.93260930103035367</v>
      </c>
      <c r="N242" s="82">
        <f>N$102/Population!V$147</f>
        <v>0.93326326852338415</v>
      </c>
      <c r="O242" s="82">
        <f>O$102/Population!W$147</f>
        <v>0.93419099455714993</v>
      </c>
      <c r="P242" s="82">
        <f>P$102/Population!X$147</f>
        <v>0.93480819016239114</v>
      </c>
      <c r="Q242" s="82">
        <f>Q$102/Population!Y$147</f>
        <v>0.93543859649122807</v>
      </c>
      <c r="R242" s="82">
        <f>R$102/Population!Z$147</f>
        <v>0.93605189990732163</v>
      </c>
      <c r="S242" s="82">
        <f>S$102/Population!AA$147</f>
        <v>0.93672077158315692</v>
      </c>
      <c r="T242" s="82">
        <f>T$102/Population!AB$147</f>
        <v>0.93697282099343959</v>
      </c>
      <c r="U242" s="82">
        <f>U$102/Population!AC$147</f>
        <v>0.9375736160188457</v>
      </c>
      <c r="V242" s="82">
        <f>V$102/Population!AD$147</f>
        <v>0.93795978420794512</v>
      </c>
      <c r="W242" s="82">
        <f>W$102/Population!AE$147</f>
        <v>0.93844601412714435</v>
      </c>
      <c r="X242" s="82">
        <f>X$102/Population!AF$147</f>
        <v>0.93901485535574669</v>
      </c>
      <c r="Y242" s="82">
        <f>Y$102/Population!AG$147</f>
        <v>0.9392365619319657</v>
      </c>
      <c r="Z242" s="82">
        <f>Z$102/Population!AH$147</f>
        <v>0.93960636290105148</v>
      </c>
      <c r="AA242" s="82">
        <f>AA$102/Population!AI$147</f>
        <v>0.93967714528462187</v>
      </c>
      <c r="AB242" s="82">
        <f>AB$102/Population!AJ$147</f>
        <v>0.93999433908859331</v>
      </c>
      <c r="AC242" s="82">
        <f>AC$102/Population!AK$147</f>
        <v>0.94025683975432717</v>
      </c>
      <c r="AD242" s="82">
        <f>AD$102/Population!AL$147</f>
        <v>0.94048287478944415</v>
      </c>
      <c r="AE242" s="82">
        <f>AE$102/Population!AM$147</f>
        <v>0.94055847387337577</v>
      </c>
      <c r="AF242" s="82">
        <f>AF$102/Population!AN$147</f>
        <v>0.94055482166446502</v>
      </c>
      <c r="AG242" s="82">
        <f>AG$102/Population!AO$147</f>
        <v>0.94075587334014299</v>
      </c>
      <c r="AH242" s="82">
        <f>AH$102/Population!AP$147</f>
        <v>0.94107233181588268</v>
      </c>
      <c r="AI242" s="82">
        <f>AI$102/Population!AQ$147</f>
        <v>0.94110244147998989</v>
      </c>
      <c r="AJ242" s="82">
        <f>AJ$102/Population!AR$147</f>
        <v>0.94113130278986434</v>
      </c>
      <c r="AK242" s="82">
        <f>AK$102/Population!AS$147</f>
        <v>0.94120694120694126</v>
      </c>
      <c r="AL242" s="82">
        <f>AL$102/Population!AT$147</f>
        <v>0.94151436031331592</v>
      </c>
      <c r="AM242" s="82">
        <f>AM$102/Population!AU$147</f>
        <v>0.94123903217229465</v>
      </c>
      <c r="AN242" s="82">
        <f>AN$102/Population!AV$147</f>
        <v>0.94138022915001329</v>
      </c>
      <c r="AO242" s="82">
        <f>AO$102/Population!AW$147</f>
        <v>0.94163319946452473</v>
      </c>
      <c r="AP242" s="82">
        <f>AP$102/Population!AX$147</f>
        <v>0.94151892034929874</v>
      </c>
      <c r="AQ242" s="82">
        <f>AQ$102/Population!AY$147</f>
        <v>0.94142150481645404</v>
      </c>
      <c r="AR242" s="82">
        <f>AR$102/Population!AZ$147</f>
        <v>0.94173511293634493</v>
      </c>
      <c r="AS242" s="82">
        <f>AS$102/Population!BA$147</f>
        <v>0.94143002028397571</v>
      </c>
      <c r="AT242" s="82">
        <f>AT$102/Population!BB$147</f>
        <v>0.94147199196181863</v>
      </c>
      <c r="AU242" s="82">
        <f>AU$102/Population!BC$147</f>
        <v>0.94158761857214179</v>
      </c>
      <c r="AV242" s="82">
        <f>AV$102/Population!BD$147</f>
        <v>0.94157135753356536</v>
      </c>
      <c r="AW242" s="82">
        <f>AW$102/Population!BE$147</f>
        <v>0.94143920595533503</v>
      </c>
      <c r="AX242" s="82">
        <f>AX$102/Population!BF$147</f>
        <v>0.94168734491315131</v>
      </c>
      <c r="AY242" s="82">
        <f>AY$102/Population!BG$147</f>
        <v>0.94161490683229809</v>
      </c>
      <c r="AZ242" s="82">
        <f>AZ$102/Population!BH$147</f>
        <v>0.94145490782262087</v>
      </c>
      <c r="BA242" s="82">
        <f>BA$102/Population!BI$147</f>
        <v>0.94172086043021508</v>
      </c>
      <c r="BB242" s="82">
        <f>BB$102/Population!BJ$147</f>
        <v>0.94167923579688284</v>
      </c>
      <c r="BC242" s="82">
        <f>BC$102/Population!BK$147</f>
        <v>0.94160768452982813</v>
      </c>
      <c r="BD242" s="82">
        <f>BD$102/Population!BL$147</f>
        <v>0.94175991861648012</v>
      </c>
    </row>
    <row r="243" spans="3:56" x14ac:dyDescent="0.2">
      <c r="C243" s="28">
        <v>38</v>
      </c>
      <c r="E243" s="82">
        <f>E$103/Population!M$148</f>
        <v>0.92290585618977017</v>
      </c>
      <c r="F243" s="82">
        <f>F$103/Population!N$148</f>
        <v>0.9245487364620939</v>
      </c>
      <c r="G243" s="82">
        <f>G$103/Population!O$148</f>
        <v>0.92568039078855546</v>
      </c>
      <c r="H243" s="82">
        <f>H$103/Population!P$148</f>
        <v>0.92707258341933263</v>
      </c>
      <c r="I243" s="82">
        <f>I$103/Population!Q$148</f>
        <v>0.92805280528052803</v>
      </c>
      <c r="J243" s="82">
        <f>J$103/Population!R$148</f>
        <v>0.92926670992861782</v>
      </c>
      <c r="K243" s="82">
        <f>K$103/Population!S$148</f>
        <v>0.93044033184428843</v>
      </c>
      <c r="L243" s="82">
        <f>L$103/Population!T$148</f>
        <v>0.93154034229828853</v>
      </c>
      <c r="M243" s="82">
        <f>M$103/Population!U$148</f>
        <v>0.93234179060950717</v>
      </c>
      <c r="N243" s="82">
        <f>N$103/Population!V$148</f>
        <v>0.93327773144286907</v>
      </c>
      <c r="O243" s="82">
        <f>O$103/Population!W$148</f>
        <v>0.93389296956977963</v>
      </c>
      <c r="P243" s="82">
        <f>P$103/Population!X$148</f>
        <v>0.93478260869565222</v>
      </c>
      <c r="Q243" s="82">
        <f>Q$103/Population!Y$148</f>
        <v>0.93537015276145707</v>
      </c>
      <c r="R243" s="82">
        <f>R$103/Population!Z$148</f>
        <v>0.93622985283812188</v>
      </c>
      <c r="S243" s="82">
        <f>S$103/Population!AA$148</f>
        <v>0.93660342434058308</v>
      </c>
      <c r="T243" s="82">
        <f>T$103/Population!AB$148</f>
        <v>0.93727977448907684</v>
      </c>
      <c r="U243" s="82">
        <f>U$103/Population!AC$148</f>
        <v>0.93752924660739356</v>
      </c>
      <c r="V243" s="82">
        <f>V$103/Population!AD$148</f>
        <v>0.93813220418725007</v>
      </c>
      <c r="W243" s="82">
        <f>W$103/Population!AE$148</f>
        <v>0.93854064642507351</v>
      </c>
      <c r="X243" s="82">
        <f>X$103/Population!AF$148</f>
        <v>0.9390428211586902</v>
      </c>
      <c r="Y243" s="82">
        <f>Y$103/Population!AG$148</f>
        <v>0.9393860561914672</v>
      </c>
      <c r="Z243" s="82">
        <f>Z$103/Population!AH$148</f>
        <v>0.93960601347848627</v>
      </c>
      <c r="AA243" s="82">
        <f>AA$103/Population!AI$148</f>
        <v>0.93998923573735205</v>
      </c>
      <c r="AB243" s="82">
        <f>AB$103/Population!AJ$148</f>
        <v>0.94007914075749011</v>
      </c>
      <c r="AC243" s="82">
        <f>AC$103/Population!AK$148</f>
        <v>0.94039548022598873</v>
      </c>
      <c r="AD243" s="82">
        <f>AD$103/Population!AL$148</f>
        <v>0.94065199219838391</v>
      </c>
      <c r="AE243" s="82">
        <f>AE$103/Population!AM$148</f>
        <v>0.94087979826281876</v>
      </c>
      <c r="AF243" s="82">
        <f>AF$103/Population!AN$148</f>
        <v>0.94094922737306841</v>
      </c>
      <c r="AG243" s="82">
        <f>AG$103/Population!AO$148</f>
        <v>0.94092827004219415</v>
      </c>
      <c r="AH243" s="82">
        <f>AH$103/Population!AP$148</f>
        <v>0.94111649248024476</v>
      </c>
      <c r="AI243" s="82">
        <f>AI$103/Population!AQ$148</f>
        <v>0.94142893208785661</v>
      </c>
      <c r="AJ243" s="82">
        <f>AJ$103/Population!AR$148</f>
        <v>0.94145728643216076</v>
      </c>
      <c r="AK243" s="82">
        <f>AK$103/Population!AS$148</f>
        <v>0.94149207971384774</v>
      </c>
      <c r="AL243" s="82">
        <f>AL$103/Population!AT$148</f>
        <v>0.94157187176835577</v>
      </c>
      <c r="AM243" s="82">
        <f>AM$103/Population!AU$148</f>
        <v>0.94163626889004692</v>
      </c>
      <c r="AN243" s="82">
        <f>AN$103/Population!AV$148</f>
        <v>0.94187898089171973</v>
      </c>
      <c r="AO243" s="82">
        <f>AO$103/Population!AW$148</f>
        <v>0.94175531914893618</v>
      </c>
      <c r="AP243" s="82">
        <f>AP$103/Population!AX$148</f>
        <v>0.9417579481699172</v>
      </c>
      <c r="AQ243" s="82">
        <f>AQ$103/Population!AY$148</f>
        <v>0.94190652231317662</v>
      </c>
      <c r="AR243" s="82">
        <f>AR$103/Population!AZ$148</f>
        <v>0.94180306573135875</v>
      </c>
      <c r="AS243" s="82">
        <f>AS$103/Population!BA$148</f>
        <v>0.94185450819672134</v>
      </c>
      <c r="AT243" s="82">
        <f>AT$103/Population!BB$148</f>
        <v>0.94203998987598081</v>
      </c>
      <c r="AU243" s="82">
        <f>AU$103/Population!BC$148</f>
        <v>0.94184006016545496</v>
      </c>
      <c r="AV243" s="82">
        <f>AV$103/Population!BD$148</f>
        <v>0.94195316392625805</v>
      </c>
      <c r="AW243" s="82">
        <f>AW$103/Population!BE$148</f>
        <v>0.9419210722263589</v>
      </c>
      <c r="AX243" s="82">
        <f>AX$103/Population!BF$148</f>
        <v>0.94203616546940794</v>
      </c>
      <c r="AY243" s="82">
        <f>AY$103/Population!BG$148</f>
        <v>0.941802872709262</v>
      </c>
      <c r="AZ243" s="82">
        <f>AZ$103/Population!BH$148</f>
        <v>0.94173072154723536</v>
      </c>
      <c r="BA243" s="82">
        <f>BA$103/Population!BI$148</f>
        <v>0.94181999005469919</v>
      </c>
      <c r="BB243" s="82">
        <f>BB$103/Population!BJ$148</f>
        <v>0.94183724413379932</v>
      </c>
      <c r="BC243" s="82">
        <f>BC$103/Population!BK$148</f>
        <v>0.9420471650777722</v>
      </c>
      <c r="BD243" s="82">
        <f>BD$103/Population!BL$148</f>
        <v>0.94197780020181632</v>
      </c>
    </row>
    <row r="244" spans="3:56" x14ac:dyDescent="0.2">
      <c r="C244" s="28">
        <v>39</v>
      </c>
      <c r="E244" s="82">
        <f>E$104/Population!M$149</f>
        <v>0.92217160212604399</v>
      </c>
      <c r="F244" s="82">
        <f>F$104/Population!N$149</f>
        <v>0.92369772560528252</v>
      </c>
      <c r="G244" s="82">
        <f>G$104/Population!O$149</f>
        <v>0.92514326647564471</v>
      </c>
      <c r="H244" s="82">
        <f>H$104/Population!P$149</f>
        <v>0.92643997224149899</v>
      </c>
      <c r="I244" s="82">
        <f>I$104/Population!Q$149</f>
        <v>0.92769019876627823</v>
      </c>
      <c r="J244" s="82">
        <f>J$104/Population!R$149</f>
        <v>0.92883031301482699</v>
      </c>
      <c r="K244" s="82">
        <f>K$104/Population!S$149</f>
        <v>0.93002915451895041</v>
      </c>
      <c r="L244" s="82">
        <f>L$104/Population!T$149</f>
        <v>0.93118827652118508</v>
      </c>
      <c r="M244" s="82">
        <f>M$104/Population!U$149</f>
        <v>0.93197071384990848</v>
      </c>
      <c r="N244" s="82">
        <f>N$104/Population!V$149</f>
        <v>0.93302271403610948</v>
      </c>
      <c r="O244" s="82">
        <f>O$104/Population!W$149</f>
        <v>0.93392559689061627</v>
      </c>
      <c r="P244" s="82">
        <f>P$104/Population!X$149</f>
        <v>0.93450353680901233</v>
      </c>
      <c r="Q244" s="82">
        <f>Q$104/Population!Y$149</f>
        <v>0.93510979521342219</v>
      </c>
      <c r="R244" s="82">
        <f>R$104/Population!Z$149</f>
        <v>0.93591549295774645</v>
      </c>
      <c r="S244" s="82">
        <f>S$104/Population!AA$149</f>
        <v>0.9365375641623892</v>
      </c>
      <c r="T244" s="82">
        <f>T$104/Population!AB$149</f>
        <v>0.93712436430883028</v>
      </c>
      <c r="U244" s="82">
        <f>U$104/Population!AC$149</f>
        <v>0.93758798686062883</v>
      </c>
      <c r="V244" s="82">
        <f>V$104/Population!AD$149</f>
        <v>0.93828892005610098</v>
      </c>
      <c r="W244" s="82">
        <f>W$104/Population!AE$149</f>
        <v>0.93867481203007519</v>
      </c>
      <c r="X244" s="82">
        <f>X$104/Population!AF$149</f>
        <v>0.93886035705551485</v>
      </c>
      <c r="Y244" s="82">
        <f>Y$104/Population!AG$149</f>
        <v>0.93913480885311873</v>
      </c>
      <c r="Z244" s="82">
        <f>Z$104/Population!AH$149</f>
        <v>0.939724603793193</v>
      </c>
      <c r="AA244" s="82">
        <f>AA$104/Population!AI$149</f>
        <v>0.94020191560962985</v>
      </c>
      <c r="AB244" s="82">
        <f>AB$104/Population!AJ$149</f>
        <v>0.94035464803868885</v>
      </c>
      <c r="AC244" s="82">
        <f>AC$104/Population!AK$149</f>
        <v>0.94046275395033863</v>
      </c>
      <c r="AD244" s="82">
        <f>AD$104/Population!AL$149</f>
        <v>0.94077834179357023</v>
      </c>
      <c r="AE244" s="82">
        <f>AE$104/Population!AM$149</f>
        <v>0.94075104311543811</v>
      </c>
      <c r="AF244" s="82">
        <f>AF$104/Population!AN$149</f>
        <v>0.94097902097902097</v>
      </c>
      <c r="AG244" s="82">
        <f>AG$104/Population!AO$149</f>
        <v>0.94132231404958677</v>
      </c>
      <c r="AH244" s="82">
        <f>AH$104/Population!AP$149</f>
        <v>0.94153278904398208</v>
      </c>
      <c r="AI244" s="82">
        <f>AI$104/Population!AQ$149</f>
        <v>0.94146093153474164</v>
      </c>
      <c r="AJ244" s="82">
        <f>AJ$104/Population!AR$149</f>
        <v>0.94151751953617346</v>
      </c>
      <c r="AK244" s="82">
        <f>AK$104/Population!AS$149</f>
        <v>0.94179628700451579</v>
      </c>
      <c r="AL244" s="82">
        <f>AL$104/Population!AT$149</f>
        <v>0.94183673469387752</v>
      </c>
      <c r="AM244" s="82">
        <f>AM$104/Population!AU$149</f>
        <v>0.94192049561177082</v>
      </c>
      <c r="AN244" s="82">
        <f>AN$104/Population!AV$149</f>
        <v>0.94172736732570239</v>
      </c>
      <c r="AO244" s="82">
        <f>AO$104/Population!AW$149</f>
        <v>0.94197138314785378</v>
      </c>
      <c r="AP244" s="82">
        <f>AP$104/Population!AX$149</f>
        <v>0.94211364843335099</v>
      </c>
      <c r="AQ244" s="82">
        <f>AQ$104/Population!AY$149</f>
        <v>0.94185116030941585</v>
      </c>
      <c r="AR244" s="82">
        <f>AR$104/Population!AZ$149</f>
        <v>0.94199841813867646</v>
      </c>
      <c r="AS244" s="82">
        <f>AS$104/Population!BA$149</f>
        <v>0.94189364461738001</v>
      </c>
      <c r="AT244" s="82">
        <f>AT$104/Population!BB$149</f>
        <v>0.94194373401534526</v>
      </c>
      <c r="AU244" s="82">
        <f>AU$104/Population!BC$149</f>
        <v>0.94212787465251457</v>
      </c>
      <c r="AV244" s="82">
        <f>AV$104/Population!BD$149</f>
        <v>0.94192740926157692</v>
      </c>
      <c r="AW244" s="82">
        <f>AW$104/Population!BE$149</f>
        <v>0.94203980099502482</v>
      </c>
      <c r="AX244" s="82">
        <f>AX$104/Population!BF$149</f>
        <v>0.94225526641883517</v>
      </c>
      <c r="AY244" s="82">
        <f>AY$104/Population!BG$149</f>
        <v>0.94212218649517687</v>
      </c>
      <c r="AZ244" s="82">
        <f>AZ$104/Population!BH$149</f>
        <v>0.94213649851632042</v>
      </c>
      <c r="BA244" s="82">
        <f>BA$104/Population!BI$149</f>
        <v>0.94206486754147067</v>
      </c>
      <c r="BB244" s="82">
        <f>BB$104/Population!BJ$149</f>
        <v>0.94215491559086395</v>
      </c>
      <c r="BC244" s="82">
        <f>BC$104/Population!BK$149</f>
        <v>0.94217347956131603</v>
      </c>
      <c r="BD244" s="82">
        <f>BD$104/Population!BL$149</f>
        <v>0.94189832206361135</v>
      </c>
    </row>
    <row r="245" spans="3:56" x14ac:dyDescent="0.2">
      <c r="C245" s="28">
        <v>40</v>
      </c>
      <c r="E245" s="82">
        <f>E$105/Population!M$150</f>
        <v>0.92142327650111189</v>
      </c>
      <c r="F245" s="82">
        <f>F$105/Population!N$150</f>
        <v>0.92290334712297861</v>
      </c>
      <c r="G245" s="82">
        <f>G$105/Population!O$150</f>
        <v>0.92461762563729055</v>
      </c>
      <c r="H245" s="82">
        <f>H$105/Population!P$150</f>
        <v>0.92589953687210547</v>
      </c>
      <c r="I245" s="82">
        <f>I$105/Population!Q$150</f>
        <v>0.92704011065006919</v>
      </c>
      <c r="J245" s="82">
        <f>J$105/Population!R$150</f>
        <v>0.92847364818617384</v>
      </c>
      <c r="K245" s="82">
        <f>K$105/Population!S$150</f>
        <v>0.9295820993747943</v>
      </c>
      <c r="L245" s="82">
        <f>L$105/Population!T$150</f>
        <v>0.93078913324708923</v>
      </c>
      <c r="M245" s="82">
        <f>M$105/Population!U$150</f>
        <v>0.93191218580973589</v>
      </c>
      <c r="N245" s="82">
        <f>N$105/Population!V$150</f>
        <v>0.93266301035953691</v>
      </c>
      <c r="O245" s="82">
        <f>O$105/Population!W$150</f>
        <v>0.93368237347294936</v>
      </c>
      <c r="P245" s="82">
        <f>P$105/Population!X$150</f>
        <v>0.93455352190793117</v>
      </c>
      <c r="Q245" s="82">
        <f>Q$105/Population!Y$150</f>
        <v>0.93534031413612562</v>
      </c>
      <c r="R245" s="82">
        <f>R$105/Population!Z$150</f>
        <v>0.93614398422090728</v>
      </c>
      <c r="S245" s="82">
        <f>S$105/Population!AA$150</f>
        <v>0.93666432090077412</v>
      </c>
      <c r="T245" s="82">
        <f>T$105/Population!AB$150</f>
        <v>0.93751457216134293</v>
      </c>
      <c r="U245" s="82">
        <f>U$105/Population!AC$150</f>
        <v>0.93787528868360281</v>
      </c>
      <c r="V245" s="82">
        <f>V$105/Population!AD$150</f>
        <v>0.93834974214721045</v>
      </c>
      <c r="W245" s="82">
        <f>W$105/Population!AE$150</f>
        <v>0.93881363848668842</v>
      </c>
      <c r="X245" s="82">
        <f>X$105/Population!AF$150</f>
        <v>0.93920187793427234</v>
      </c>
      <c r="Y245" s="82">
        <f>Y$105/Population!AG$150</f>
        <v>0.93965306621060352</v>
      </c>
      <c r="Z245" s="82">
        <f>Z$105/Population!AH$150</f>
        <v>0.93994974874371862</v>
      </c>
      <c r="AA245" s="82">
        <f>AA$105/Population!AI$150</f>
        <v>0.94032174364296839</v>
      </c>
      <c r="AB245" s="82">
        <f>AB$105/Population!AJ$150</f>
        <v>0.94053774560496384</v>
      </c>
      <c r="AC245" s="82">
        <f>AC$105/Population!AK$150</f>
        <v>0.94095544820182497</v>
      </c>
      <c r="AD245" s="82">
        <f>AD$105/Population!AL$150</f>
        <v>0.94109357384441938</v>
      </c>
      <c r="AE245" s="82">
        <f>AE$105/Population!AM$150</f>
        <v>0.94142495071810761</v>
      </c>
      <c r="AF245" s="82">
        <f>AF$105/Population!AN$150</f>
        <v>0.94138888888888894</v>
      </c>
      <c r="AG245" s="82">
        <f>AG$105/Population!AO$150</f>
        <v>0.94162011173184357</v>
      </c>
      <c r="AH245" s="82">
        <f>AH$105/Population!AP$150</f>
        <v>0.94167812929848693</v>
      </c>
      <c r="AI245" s="82">
        <f>AI$105/Population!AQ$150</f>
        <v>0.94213571804313523</v>
      </c>
      <c r="AJ245" s="82">
        <f>AJ$105/Population!AR$150</f>
        <v>0.94228324434274091</v>
      </c>
      <c r="AK245" s="82">
        <f>AK$105/Population!AS$150</f>
        <v>0.9420946626384693</v>
      </c>
      <c r="AL245" s="82">
        <f>AL$105/Population!AT$150</f>
        <v>0.94237033324981212</v>
      </c>
      <c r="AM245" s="82">
        <f>AM$105/Population!AU$150</f>
        <v>0.94242038216560509</v>
      </c>
      <c r="AN245" s="82">
        <f>AN$105/Population!AV$150</f>
        <v>0.94251095643207017</v>
      </c>
      <c r="AO245" s="82">
        <f>AO$105/Population!AW$150</f>
        <v>0.94232268121590024</v>
      </c>
      <c r="AP245" s="82">
        <f>AP$105/Population!AX$150</f>
        <v>0.94232804232804235</v>
      </c>
      <c r="AQ245" s="82">
        <f>AQ$105/Population!AY$150</f>
        <v>0.94247083775185581</v>
      </c>
      <c r="AR245" s="82">
        <f>AR$105/Population!AZ$150</f>
        <v>0.94246137453383061</v>
      </c>
      <c r="AS245" s="82">
        <f>AS$105/Population!BA$150</f>
        <v>0.94260136914165349</v>
      </c>
      <c r="AT245" s="82">
        <f>AT$105/Population!BB$150</f>
        <v>0.94248704663212435</v>
      </c>
      <c r="AU245" s="82">
        <f>AU$105/Population!BC$150</f>
        <v>0.94252873563218387</v>
      </c>
      <c r="AV245" s="82">
        <f>AV$105/Population!BD$150</f>
        <v>0.94246782740348223</v>
      </c>
      <c r="AW245" s="82">
        <f>AW$105/Population!BE$150</f>
        <v>0.9425</v>
      </c>
      <c r="AX245" s="82">
        <f>AX$105/Population!BF$150</f>
        <v>0.94260869565217387</v>
      </c>
      <c r="AY245" s="82">
        <f>AY$105/Population!BG$150</f>
        <v>0.94258846820094033</v>
      </c>
      <c r="AZ245" s="82">
        <f>AZ$105/Population!BH$150</f>
        <v>0.94245492714250434</v>
      </c>
      <c r="BA245" s="82">
        <f>BA$105/Population!BI$150</f>
        <v>0.94246913580246916</v>
      </c>
      <c r="BB245" s="82">
        <f>BB$105/Population!BJ$150</f>
        <v>0.94263105835806138</v>
      </c>
      <c r="BC245" s="82">
        <f>BC$105/Population!BK$150</f>
        <v>0.94272253905281433</v>
      </c>
      <c r="BD245" s="82">
        <f>BD$105/Population!BL$150</f>
        <v>0.94250871080139376</v>
      </c>
    </row>
    <row r="246" spans="3:56" x14ac:dyDescent="0.2">
      <c r="C246" s="28">
        <v>41</v>
      </c>
      <c r="E246" s="82">
        <f>E$106/Population!M$151</f>
        <v>0.92035398230088494</v>
      </c>
      <c r="F246" s="82">
        <f>F$106/Population!N$151</f>
        <v>0.9220874678427049</v>
      </c>
      <c r="G246" s="82">
        <f>G$106/Population!O$151</f>
        <v>0.92382374906646747</v>
      </c>
      <c r="H246" s="82">
        <f>H$106/Population!P$151</f>
        <v>0.92536231884057973</v>
      </c>
      <c r="I246" s="82">
        <f>I$106/Population!Q$151</f>
        <v>0.92684659090909094</v>
      </c>
      <c r="J246" s="82">
        <f>J$106/Population!R$151</f>
        <v>0.92815198618307426</v>
      </c>
      <c r="K246" s="82">
        <f>K$106/Population!S$151</f>
        <v>0.929254955570745</v>
      </c>
      <c r="L246" s="82">
        <f>L$106/Population!T$151</f>
        <v>0.9306605323693723</v>
      </c>
      <c r="M246" s="82">
        <f>M$106/Population!U$151</f>
        <v>0.93182552504038774</v>
      </c>
      <c r="N246" s="82">
        <f>N$106/Population!V$151</f>
        <v>0.93295201779472514</v>
      </c>
      <c r="O246" s="82">
        <f>O$106/Population!W$151</f>
        <v>0.93394216133942165</v>
      </c>
      <c r="P246" s="82">
        <f>P$106/Population!X$151</f>
        <v>0.93463102847181867</v>
      </c>
      <c r="Q246" s="82">
        <f>Q$106/Population!Y$151</f>
        <v>0.9354570637119114</v>
      </c>
      <c r="R246" s="82">
        <f>R$106/Population!Z$151</f>
        <v>0.93619246861924688</v>
      </c>
      <c r="S246" s="82">
        <f>S$106/Population!AA$151</f>
        <v>0.93694581280788181</v>
      </c>
      <c r="T246" s="82">
        <f>T$106/Population!AB$151</f>
        <v>0.93764650726676046</v>
      </c>
      <c r="U246" s="82">
        <f>U$106/Population!AC$151</f>
        <v>0.93803866759841603</v>
      </c>
      <c r="V246" s="82">
        <f>V$106/Population!AD$151</f>
        <v>0.93884144934225711</v>
      </c>
      <c r="W246" s="82">
        <f>W$106/Population!AE$151</f>
        <v>0.93933005387678614</v>
      </c>
      <c r="X246" s="82">
        <f>X$106/Population!AF$151</f>
        <v>0.93957069528698089</v>
      </c>
      <c r="Y246" s="82">
        <f>Y$106/Population!AG$151</f>
        <v>0.94018296973962001</v>
      </c>
      <c r="Z246" s="82">
        <f>Z$106/Population!AH$151</f>
        <v>0.94044422748352452</v>
      </c>
      <c r="AA246" s="82">
        <f>AA$106/Population!AI$151</f>
        <v>0.94076305220883538</v>
      </c>
      <c r="AB246" s="82">
        <f>AB$106/Population!AJ$151</f>
        <v>0.94116122343182995</v>
      </c>
      <c r="AC246" s="82">
        <f>AC$106/Population!AK$151</f>
        <v>0.94137396694214881</v>
      </c>
      <c r="AD246" s="82">
        <f>AD$106/Population!AL$151</f>
        <v>0.94157062449745377</v>
      </c>
      <c r="AE246" s="82">
        <f>AE$106/Population!AM$151</f>
        <v>0.94202082746974392</v>
      </c>
      <c r="AF246" s="82">
        <f>AF$106/Population!AN$151</f>
        <v>0.94233473980309423</v>
      </c>
      <c r="AG246" s="82">
        <f>AG$106/Population!AO$151</f>
        <v>0.94228634850166482</v>
      </c>
      <c r="AH246" s="82">
        <f>AH$106/Population!AP$151</f>
        <v>0.94253835425383548</v>
      </c>
      <c r="AI246" s="82">
        <f>AI$106/Population!AQ$151</f>
        <v>0.94284143995603187</v>
      </c>
      <c r="AJ246" s="82">
        <f>AJ$106/Population!AR$151</f>
        <v>0.94273706330443918</v>
      </c>
      <c r="AK246" s="82">
        <f>AK$106/Population!AS$151</f>
        <v>0.94286439817166079</v>
      </c>
      <c r="AL246" s="82">
        <f>AL$106/Population!AT$151</f>
        <v>0.94290744466800802</v>
      </c>
      <c r="AM246" s="82">
        <f>AM$106/Population!AU$151</f>
        <v>0.9429429429429429</v>
      </c>
      <c r="AN246" s="82">
        <f>AN$106/Population!AV$151</f>
        <v>0.94300254452926213</v>
      </c>
      <c r="AO246" s="82">
        <f>AO$106/Population!AW$151</f>
        <v>0.94309989701338826</v>
      </c>
      <c r="AP246" s="82">
        <f>AP$106/Population!AX$151</f>
        <v>0.94316117311186087</v>
      </c>
      <c r="AQ246" s="82">
        <f>AQ$106/Population!AY$151</f>
        <v>0.94344608879492597</v>
      </c>
      <c r="AR246" s="82">
        <f>AR$106/Population!AZ$151</f>
        <v>0.94332627118644063</v>
      </c>
      <c r="AS246" s="82">
        <f>AS$106/Population!BA$151</f>
        <v>0.94333599361532328</v>
      </c>
      <c r="AT246" s="82">
        <f>AT$106/Population!BB$151</f>
        <v>0.94346568498553773</v>
      </c>
      <c r="AU246" s="82">
        <f>AU$106/Population!BC$151</f>
        <v>0.94333764553686938</v>
      </c>
      <c r="AV246" s="82">
        <f>AV$106/Population!BD$151</f>
        <v>0.94336734693877555</v>
      </c>
      <c r="AW246" s="82">
        <f>AW$106/Population!BE$151</f>
        <v>0.94329637096774188</v>
      </c>
      <c r="AX246" s="82">
        <f>AX$106/Population!BF$151</f>
        <v>0.94332084893882651</v>
      </c>
      <c r="AY246" s="82">
        <f>AY$106/Population!BG$151</f>
        <v>0.94342431761786605</v>
      </c>
      <c r="AZ246" s="82">
        <f>AZ$106/Population!BH$151</f>
        <v>0.94340088976767178</v>
      </c>
      <c r="BA246" s="82">
        <f>BA$106/Population!BI$151</f>
        <v>0.94326591021213613</v>
      </c>
      <c r="BB246" s="82">
        <f>BB$106/Population!BJ$151</f>
        <v>0.9432799013563502</v>
      </c>
      <c r="BC246" s="82">
        <f>BC$106/Population!BK$151</f>
        <v>0.94344282538898494</v>
      </c>
      <c r="BD246" s="82">
        <f>BD$106/Population!BL$151</f>
        <v>0.94330279772220849</v>
      </c>
    </row>
    <row r="247" spans="3:56" x14ac:dyDescent="0.2">
      <c r="C247" s="28">
        <v>42</v>
      </c>
      <c r="E247" s="82">
        <f>E$107/Population!M$152</f>
        <v>0.91929698708751795</v>
      </c>
      <c r="F247" s="82">
        <f>F$107/Population!N$152</f>
        <v>0.92096597145993409</v>
      </c>
      <c r="G247" s="82">
        <f>G$107/Population!O$152</f>
        <v>0.92293644996347701</v>
      </c>
      <c r="H247" s="82">
        <f>H$107/Population!P$152</f>
        <v>0.92453531598513006</v>
      </c>
      <c r="I247" s="82">
        <f>I$107/Population!Q$152</f>
        <v>0.92593930635838151</v>
      </c>
      <c r="J247" s="82">
        <f>J$107/Population!R$152</f>
        <v>0.92763391273501239</v>
      </c>
      <c r="K247" s="82">
        <f>K$107/Population!S$152</f>
        <v>0.92859606760952051</v>
      </c>
      <c r="L247" s="82">
        <f>L$107/Population!T$152</f>
        <v>0.93001024240355068</v>
      </c>
      <c r="M247" s="82">
        <f>M$107/Population!U$152</f>
        <v>0.93105712409717667</v>
      </c>
      <c r="N247" s="82">
        <f>N$107/Population!V$152</f>
        <v>0.93223620522749273</v>
      </c>
      <c r="O247" s="82">
        <f>O$107/Population!W$152</f>
        <v>0.93333333333333335</v>
      </c>
      <c r="P247" s="82">
        <f>P$107/Population!X$152</f>
        <v>0.93402249923989056</v>
      </c>
      <c r="Q247" s="82">
        <f>Q$107/Population!Y$152</f>
        <v>0.93497822931785191</v>
      </c>
      <c r="R247" s="82">
        <f>R$107/Population!Z$152</f>
        <v>0.93578743426515365</v>
      </c>
      <c r="S247" s="82">
        <f>S$107/Population!AA$152</f>
        <v>0.93650378886856545</v>
      </c>
      <c r="T247" s="82">
        <f>T$107/Population!AB$152</f>
        <v>0.93746922698178237</v>
      </c>
      <c r="U247" s="82">
        <f>U$107/Population!AC$152</f>
        <v>0.93792457249941441</v>
      </c>
      <c r="V247" s="82">
        <f>V$107/Population!AD$152</f>
        <v>0.9385331781140861</v>
      </c>
      <c r="W247" s="82">
        <f>W$107/Population!AE$152</f>
        <v>0.93911439114391149</v>
      </c>
      <c r="X247" s="82">
        <f>X$107/Population!AF$152</f>
        <v>0.9396067415730337</v>
      </c>
      <c r="Y247" s="82">
        <f>Y$107/Population!AG$152</f>
        <v>0.94006529850746268</v>
      </c>
      <c r="Z247" s="82">
        <f>Z$107/Population!AH$152</f>
        <v>0.94045944678856075</v>
      </c>
      <c r="AA247" s="82">
        <f>AA$107/Population!AI$152</f>
        <v>0.94073170731707312</v>
      </c>
      <c r="AB247" s="82">
        <f>AB$107/Population!AJ$152</f>
        <v>0.94105843992977178</v>
      </c>
      <c r="AC247" s="82">
        <f>AC$107/Population!AK$152</f>
        <v>0.94146594146594142</v>
      </c>
      <c r="AD247" s="82">
        <f>AD$107/Population!AL$152</f>
        <v>0.94169246646026827</v>
      </c>
      <c r="AE247" s="82">
        <f>AE$107/Population!AM$152</f>
        <v>0.94215318693090522</v>
      </c>
      <c r="AF247" s="82">
        <f>AF$107/Population!AN$152</f>
        <v>0.94208602755130733</v>
      </c>
      <c r="AG247" s="82">
        <f>AG$107/Population!AO$152</f>
        <v>0.9423995504355156</v>
      </c>
      <c r="AH247" s="82">
        <f>AH$107/Population!AP$152</f>
        <v>0.94262749445676275</v>
      </c>
      <c r="AI247" s="82">
        <f>AI$107/Population!AQ$152</f>
        <v>0.94260239621064368</v>
      </c>
      <c r="AJ247" s="82">
        <f>AJ$107/Population!AR$152</f>
        <v>0.9429041998353006</v>
      </c>
      <c r="AK247" s="82">
        <f>AK$107/Population!AS$152</f>
        <v>0.94279716609813702</v>
      </c>
      <c r="AL247" s="82">
        <f>AL$107/Population!AT$152</f>
        <v>0.94292237442922378</v>
      </c>
      <c r="AM247" s="82">
        <f>AM$107/Population!AU$152</f>
        <v>0.9432160804020101</v>
      </c>
      <c r="AN247" s="82">
        <f>AN$107/Population!AV$152</f>
        <v>0.94299999999999995</v>
      </c>
      <c r="AO247" s="82">
        <f>AO$107/Population!AW$152</f>
        <v>0.94306049822064053</v>
      </c>
      <c r="AP247" s="82">
        <f>AP$107/Population!AX$152</f>
        <v>0.94315843621399176</v>
      </c>
      <c r="AQ247" s="82">
        <f>AQ$107/Population!AY$152</f>
        <v>0.94323483670295494</v>
      </c>
      <c r="AR247" s="82">
        <f>AR$107/Population!AZ$152</f>
        <v>0.94325679598838741</v>
      </c>
      <c r="AS247" s="82">
        <f>AS$107/Population!BA$152</f>
        <v>0.9434012166093626</v>
      </c>
      <c r="AT247" s="82">
        <f>AT$107/Population!BB$152</f>
        <v>0.94339622641509435</v>
      </c>
      <c r="AU247" s="82">
        <f>AU$107/Population!BC$152</f>
        <v>0.94327731092436973</v>
      </c>
      <c r="AV247" s="82">
        <f>AV$107/Population!BD$152</f>
        <v>0.94339622641509435</v>
      </c>
      <c r="AW247" s="82">
        <f>AW$107/Population!BE$152</f>
        <v>0.94318471337579612</v>
      </c>
      <c r="AX247" s="82">
        <f>AX$107/Population!BF$152</f>
        <v>0.94335347432024175</v>
      </c>
      <c r="AY247" s="82">
        <f>AY$107/Population!BG$152</f>
        <v>0.94339152119700753</v>
      </c>
      <c r="AZ247" s="82">
        <f>AZ$107/Population!BH$152</f>
        <v>0.94349442379182158</v>
      </c>
      <c r="BA247" s="82">
        <f>BA$107/Population!BI$152</f>
        <v>0.94345679012345685</v>
      </c>
      <c r="BB247" s="82">
        <f>BB$107/Population!BJ$152</f>
        <v>0.94333579699433356</v>
      </c>
      <c r="BC247" s="82">
        <f>BC$107/Population!BK$152</f>
        <v>0.94334975369458129</v>
      </c>
      <c r="BD247" s="82">
        <f>BD$107/Population!BL$152</f>
        <v>0.94351258016773554</v>
      </c>
    </row>
    <row r="248" spans="3:56" x14ac:dyDescent="0.2">
      <c r="C248" s="28">
        <v>43</v>
      </c>
      <c r="E248" s="82">
        <f>E$108/Population!M$153</f>
        <v>0.91804407713498626</v>
      </c>
      <c r="F248" s="82">
        <f>F$108/Population!N$153</f>
        <v>0.91981468282252321</v>
      </c>
      <c r="G248" s="82">
        <f>G$108/Population!O$153</f>
        <v>0.92173279941754638</v>
      </c>
      <c r="H248" s="82">
        <f>H$108/Population!P$153</f>
        <v>0.92358078602620086</v>
      </c>
      <c r="I248" s="82">
        <f>I$108/Population!Q$153</f>
        <v>0.92507418397626118</v>
      </c>
      <c r="J248" s="82">
        <f>J$108/Population!R$153</f>
        <v>0.92635379061371836</v>
      </c>
      <c r="K248" s="82">
        <f>K$108/Population!S$153</f>
        <v>0.92771084337349397</v>
      </c>
      <c r="L248" s="82">
        <f>L$108/Population!T$153</f>
        <v>0.92899000344708726</v>
      </c>
      <c r="M248" s="82">
        <f>M$108/Population!U$153</f>
        <v>0.93008185538881305</v>
      </c>
      <c r="N248" s="82">
        <f>N$108/Population!V$153</f>
        <v>0.93143044619422577</v>
      </c>
      <c r="O248" s="82">
        <f>O$108/Population!W$153</f>
        <v>0.93227990970654628</v>
      </c>
      <c r="P248" s="82">
        <f>P$108/Population!X$153</f>
        <v>0.93307960672375512</v>
      </c>
      <c r="Q248" s="82">
        <f>Q$108/Population!Y$153</f>
        <v>0.93406259495594046</v>
      </c>
      <c r="R248" s="82">
        <f>R$108/Population!Z$153</f>
        <v>0.93501595590368436</v>
      </c>
      <c r="S248" s="82">
        <f>S$108/Population!AA$153</f>
        <v>0.9355463347164592</v>
      </c>
      <c r="T248" s="82">
        <f>T$108/Population!AB$153</f>
        <v>0.93627579002350481</v>
      </c>
      <c r="U248" s="82">
        <f>U$108/Population!AC$153</f>
        <v>0.93700787401574803</v>
      </c>
      <c r="V248" s="82">
        <f>V$108/Population!AD$153</f>
        <v>0.93748536642472491</v>
      </c>
      <c r="W248" s="82">
        <f>W$108/Population!AE$153</f>
        <v>0.93809634628810801</v>
      </c>
      <c r="X248" s="82">
        <f>X$108/Population!AF$153</f>
        <v>0.9386672815310122</v>
      </c>
      <c r="Y248" s="82">
        <f>Y$108/Population!AG$153</f>
        <v>0.93916705662143196</v>
      </c>
      <c r="Z248" s="82">
        <f>Z$108/Population!AH$153</f>
        <v>0.93962703962703964</v>
      </c>
      <c r="AA248" s="82">
        <f>AA$108/Population!AI$153</f>
        <v>0.94001874414245545</v>
      </c>
      <c r="AB248" s="82">
        <f>AB$108/Population!AJ$153</f>
        <v>0.94027303754266212</v>
      </c>
      <c r="AC248" s="82">
        <f>AC$108/Population!AK$153</f>
        <v>0.94058661318626224</v>
      </c>
      <c r="AD248" s="82">
        <f>AD$108/Population!AL$153</f>
        <v>0.94073498964803315</v>
      </c>
      <c r="AE248" s="82">
        <f>AE$108/Population!AM$153</f>
        <v>0.9412068076328004</v>
      </c>
      <c r="AF248" s="82">
        <f>AF$108/Population!AN$153</f>
        <v>0.94139684238694143</v>
      </c>
      <c r="AG248" s="82">
        <f>AG$108/Population!AO$153</f>
        <v>0.94129213483146068</v>
      </c>
      <c r="AH248" s="82">
        <f>AH$108/Population!AP$153</f>
        <v>0.94160583941605835</v>
      </c>
      <c r="AI248" s="82">
        <f>AI$108/Population!AQ$153</f>
        <v>0.94184436444198283</v>
      </c>
      <c r="AJ248" s="82">
        <f>AJ$108/Population!AR$153</f>
        <v>0.94181514476614703</v>
      </c>
      <c r="AK248" s="82">
        <f>AK$108/Population!AS$153</f>
        <v>0.94187003016177684</v>
      </c>
      <c r="AL248" s="82">
        <f>AL$108/Population!AT$153</f>
        <v>0.94205558468799167</v>
      </c>
      <c r="AM248" s="82">
        <f>AM$108/Population!AU$153</f>
        <v>0.94220532319391637</v>
      </c>
      <c r="AN248" s="82">
        <f>AN$108/Population!AV$153</f>
        <v>0.94201807228915657</v>
      </c>
      <c r="AO248" s="82">
        <f>AO$108/Population!AW$153</f>
        <v>0.94229328003997004</v>
      </c>
      <c r="AP248" s="82">
        <f>AP$108/Population!AX$153</f>
        <v>0.94234188468376934</v>
      </c>
      <c r="AQ248" s="82">
        <f>AQ$108/Population!AY$153</f>
        <v>0.94243125160627084</v>
      </c>
      <c r="AR248" s="82">
        <f>AR$108/Population!AZ$153</f>
        <v>0.94250194250194252</v>
      </c>
      <c r="AS248" s="82">
        <f>AS$108/Population!BA$153</f>
        <v>0.9425105485232067</v>
      </c>
      <c r="AT248" s="82">
        <f>AT$108/Population!BB$153</f>
        <v>0.94240422721268169</v>
      </c>
      <c r="AU248" s="82">
        <f>AU$108/Population!BC$153</f>
        <v>0.94239447836474644</v>
      </c>
      <c r="AV248" s="82">
        <f>AV$108/Population!BD$153</f>
        <v>0.9422875131164743</v>
      </c>
      <c r="AW248" s="82">
        <f>AW$108/Population!BE$153</f>
        <v>0.9424218951717015</v>
      </c>
      <c r="AX248" s="82">
        <f>AX$108/Population!BF$153</f>
        <v>0.94247900229065917</v>
      </c>
      <c r="AY248" s="82">
        <f>AY$108/Population!BG$153</f>
        <v>0.94240442655935619</v>
      </c>
      <c r="AZ248" s="82">
        <f>AZ$108/Population!BH$153</f>
        <v>0.94245142002989535</v>
      </c>
      <c r="BA248" s="82">
        <f>BA$108/Population!BI$153</f>
        <v>0.94256003961376578</v>
      </c>
      <c r="BB248" s="82">
        <f>BB$108/Population!BJ$153</f>
        <v>0.9425259003453379</v>
      </c>
      <c r="BC248" s="82">
        <f>BC$108/Population!BK$153</f>
        <v>0.94240708835835585</v>
      </c>
      <c r="BD248" s="82">
        <f>BD$108/Population!BL$153</f>
        <v>0.94242125984251968</v>
      </c>
    </row>
    <row r="249" spans="3:56" x14ac:dyDescent="0.2">
      <c r="C249" s="28">
        <v>44</v>
      </c>
      <c r="E249" s="82">
        <f>E$109/Population!M$154</f>
        <v>0.91686143572621037</v>
      </c>
      <c r="F249" s="82">
        <f>F$109/Population!N$154</f>
        <v>0.91883561643835621</v>
      </c>
      <c r="G249" s="82">
        <f>G$109/Population!O$154</f>
        <v>0.92051100070972325</v>
      </c>
      <c r="H249" s="82">
        <f>H$109/Population!P$154</f>
        <v>0.92198838896952107</v>
      </c>
      <c r="I249" s="82">
        <f>I$109/Population!Q$154</f>
        <v>0.92338416848220772</v>
      </c>
      <c r="J249" s="82">
        <f>J$109/Population!R$154</f>
        <v>0.92512972572275765</v>
      </c>
      <c r="K249" s="82">
        <f>K$109/Population!S$154</f>
        <v>0.92640692640692646</v>
      </c>
      <c r="L249" s="82">
        <f>L$109/Population!T$154</f>
        <v>0.92773645058448462</v>
      </c>
      <c r="M249" s="82">
        <f>M$109/Population!U$154</f>
        <v>0.92869445401308992</v>
      </c>
      <c r="N249" s="82">
        <f>N$109/Population!V$154</f>
        <v>0.93010569382884423</v>
      </c>
      <c r="O249" s="82">
        <f>O$109/Population!W$154</f>
        <v>0.93081967213114758</v>
      </c>
      <c r="P249" s="82">
        <f>P$109/Population!X$154</f>
        <v>0.93167902030293259</v>
      </c>
      <c r="Q249" s="82">
        <f>Q$109/Population!Y$154</f>
        <v>0.93310082435003172</v>
      </c>
      <c r="R249" s="82">
        <f>R$109/Population!Z$154</f>
        <v>0.93377885783718106</v>
      </c>
      <c r="S249" s="82">
        <f>S$109/Population!AA$154</f>
        <v>0.93418382139750655</v>
      </c>
      <c r="T249" s="82">
        <f>T$109/Population!AB$154</f>
        <v>0.93528761061946908</v>
      </c>
      <c r="U249" s="82">
        <f>U$109/Population!AC$154</f>
        <v>0.93577023498694512</v>
      </c>
      <c r="V249" s="82">
        <f>V$109/Population!AD$154</f>
        <v>0.93628536285362851</v>
      </c>
      <c r="W249" s="82">
        <f>W$109/Population!AE$154</f>
        <v>0.93701709201592132</v>
      </c>
      <c r="X249" s="82">
        <f>X$109/Population!AF$154</f>
        <v>0.93741275011633318</v>
      </c>
      <c r="Y249" s="82">
        <f>Y$109/Population!AG$154</f>
        <v>0.937989857076994</v>
      </c>
      <c r="Z249" s="82">
        <f>Z$109/Population!AH$154</f>
        <v>0.93824561403508777</v>
      </c>
      <c r="AA249" s="82">
        <f>AA$109/Population!AI$154</f>
        <v>0.9384902143522833</v>
      </c>
      <c r="AB249" s="82">
        <f>AB$109/Population!AJ$154</f>
        <v>0.93887587822014051</v>
      </c>
      <c r="AC249" s="82">
        <f>AC$109/Population!AK$154</f>
        <v>0.93908382066276808</v>
      </c>
      <c r="AD249" s="82">
        <f>AD$109/Population!AL$154</f>
        <v>0.93961413179654218</v>
      </c>
      <c r="AE249" s="82">
        <f>AE$109/Population!AM$154</f>
        <v>0.93973098810139677</v>
      </c>
      <c r="AF249" s="82">
        <f>AF$109/Population!AN$154</f>
        <v>0.93994845360824741</v>
      </c>
      <c r="AG249" s="82">
        <f>AG$109/Population!AO$154</f>
        <v>0.94010695187165771</v>
      </c>
      <c r="AH249" s="82">
        <f>AH$109/Population!AP$154</f>
        <v>0.94048287478944415</v>
      </c>
      <c r="AI249" s="82">
        <f>AI$109/Population!AQ$154</f>
        <v>0.94053295932678826</v>
      </c>
      <c r="AJ249" s="82">
        <f>AJ$109/Population!AR$154</f>
        <v>0.94050913115661317</v>
      </c>
      <c r="AK249" s="82">
        <f>AK$109/Population!AS$154</f>
        <v>0.94047287899860921</v>
      </c>
      <c r="AL249" s="82">
        <f>AL$109/Population!AT$154</f>
        <v>0.94080570019183341</v>
      </c>
      <c r="AM249" s="82">
        <f>AM$109/Population!AU$154</f>
        <v>0.94103773584905659</v>
      </c>
      <c r="AN249" s="82">
        <f>AN$109/Population!AV$154</f>
        <v>0.94072948328267481</v>
      </c>
      <c r="AO249" s="82">
        <f>AO$109/Population!AW$154</f>
        <v>0.94104365278474666</v>
      </c>
      <c r="AP249" s="82">
        <f>AP$109/Population!AX$154</f>
        <v>0.94107365792759046</v>
      </c>
      <c r="AQ249" s="82">
        <f>AQ$109/Population!AY$154</f>
        <v>0.94111675126903549</v>
      </c>
      <c r="AR249" s="82">
        <f>AR$109/Population!AZ$154</f>
        <v>0.94119157678479715</v>
      </c>
      <c r="AS249" s="82">
        <f>AS$109/Population!BA$154</f>
        <v>0.9412525879917184</v>
      </c>
      <c r="AT249" s="82">
        <f>AT$109/Population!BB$154</f>
        <v>0.94123847167325425</v>
      </c>
      <c r="AU249" s="82">
        <f>AU$109/Population!BC$154</f>
        <v>0.94112988384371699</v>
      </c>
      <c r="AV249" s="82">
        <f>AV$109/Population!BD$154</f>
        <v>0.94111405835543771</v>
      </c>
      <c r="AW249" s="82">
        <f>AW$109/Population!BE$154</f>
        <v>0.94102228047182179</v>
      </c>
      <c r="AX249" s="82">
        <f>AX$109/Population!BF$154</f>
        <v>0.94117647058823528</v>
      </c>
      <c r="AY249" s="82">
        <f>AY$109/Population!BG$154</f>
        <v>0.94099694811800605</v>
      </c>
      <c r="AZ249" s="82">
        <f>AZ$109/Population!BH$154</f>
        <v>0.94119125408394066</v>
      </c>
      <c r="BA249" s="82">
        <f>BA$109/Population!BI$154</f>
        <v>0.94100074682598955</v>
      </c>
      <c r="BB249" s="82">
        <f>BB$109/Population!BJ$154</f>
        <v>0.94111825828797624</v>
      </c>
      <c r="BC249" s="82">
        <f>BC$109/Population!BK$154</f>
        <v>0.94110399211434204</v>
      </c>
      <c r="BD249" s="82">
        <f>BD$109/Population!BL$154</f>
        <v>0.94121987211018199</v>
      </c>
    </row>
    <row r="250" spans="3:56" x14ac:dyDescent="0.2">
      <c r="C250" s="28">
        <v>45</v>
      </c>
      <c r="E250" s="82">
        <f>E$110/Population!M$155</f>
        <v>0.91561996779388088</v>
      </c>
      <c r="F250" s="82">
        <f>F$110/Population!N$155</f>
        <v>0.91724825523429709</v>
      </c>
      <c r="G250" s="82">
        <f>G$110/Population!O$155</f>
        <v>0.91911262798634807</v>
      </c>
      <c r="H250" s="82">
        <f>H$110/Population!P$155</f>
        <v>0.92038216560509556</v>
      </c>
      <c r="I250" s="82">
        <f>I$110/Population!Q$155</f>
        <v>0.92210144927536231</v>
      </c>
      <c r="J250" s="82">
        <f>J$110/Population!R$155</f>
        <v>0.92374727668845313</v>
      </c>
      <c r="K250" s="82">
        <f>K$110/Population!S$155</f>
        <v>0.92478695813264167</v>
      </c>
      <c r="L250" s="82">
        <f>L$110/Population!T$155</f>
        <v>0.92640692640692646</v>
      </c>
      <c r="M250" s="82">
        <f>M$110/Population!U$155</f>
        <v>0.92740793201133143</v>
      </c>
      <c r="N250" s="82">
        <f>N$110/Population!V$155</f>
        <v>0.92869445401308992</v>
      </c>
      <c r="O250" s="82">
        <f>O$110/Population!W$155</f>
        <v>0.92944785276073616</v>
      </c>
      <c r="P250" s="82">
        <f>P$110/Population!X$155</f>
        <v>0.9301868239921337</v>
      </c>
      <c r="Q250" s="82">
        <f>Q$110/Population!Y$155</f>
        <v>0.93135675153077668</v>
      </c>
      <c r="R250" s="82">
        <f>R$110/Population!Z$155</f>
        <v>0.93217115689381935</v>
      </c>
      <c r="S250" s="82">
        <f>S$110/Population!AA$155</f>
        <v>0.93288794412389919</v>
      </c>
      <c r="T250" s="82">
        <f>T$110/Population!AB$155</f>
        <v>0.93360394317193385</v>
      </c>
      <c r="U250" s="82">
        <f>U$110/Population!AC$155</f>
        <v>0.93419961293889964</v>
      </c>
      <c r="V250" s="82">
        <f>V$110/Population!AD$155</f>
        <v>0.93472584856396868</v>
      </c>
      <c r="W250" s="82">
        <f>W$110/Population!AE$155</f>
        <v>0.93530135301353012</v>
      </c>
      <c r="X250" s="82">
        <f>X$110/Population!AF$155</f>
        <v>0.93584640599391244</v>
      </c>
      <c r="Y250" s="82">
        <f>Y$110/Population!AG$155</f>
        <v>0.93624941833410891</v>
      </c>
      <c r="Z250" s="82">
        <f>Z$110/Population!AH$155</f>
        <v>0.93683725218994929</v>
      </c>
      <c r="AA250" s="82">
        <f>AA$110/Population!AI$155</f>
        <v>0.93707602339181284</v>
      </c>
      <c r="AB250" s="82">
        <f>AB$110/Population!AJ$155</f>
        <v>0.93732525629077357</v>
      </c>
      <c r="AC250" s="82">
        <f>AC$110/Population!AK$155</f>
        <v>0.93770491803278688</v>
      </c>
      <c r="AD250" s="82">
        <f>AD$110/Population!AL$155</f>
        <v>0.93788063337393424</v>
      </c>
      <c r="AE250" s="82">
        <f>AE$110/Population!AM$155</f>
        <v>0.93812625250501003</v>
      </c>
      <c r="AF250" s="82">
        <f>AF$110/Population!AN$155</f>
        <v>0.93845358158779413</v>
      </c>
      <c r="AG250" s="82">
        <f>AG$110/Population!AO$155</f>
        <v>0.93867559907240405</v>
      </c>
      <c r="AH250" s="82">
        <f>AH$110/Population!AP$155</f>
        <v>0.9387864207431168</v>
      </c>
      <c r="AI250" s="82">
        <f>AI$110/Population!AQ$155</f>
        <v>0.9388327721661055</v>
      </c>
      <c r="AJ250" s="82">
        <f>AJ$110/Population!AR$155</f>
        <v>0.93888421642837117</v>
      </c>
      <c r="AK250" s="82">
        <f>AK$110/Population!AS$155</f>
        <v>0.93888274336283184</v>
      </c>
      <c r="AL250" s="82">
        <f>AL$110/Population!AT$155</f>
        <v>0.93937708565072298</v>
      </c>
      <c r="AM250" s="82">
        <f>AM$110/Population!AU$155</f>
        <v>0.93919474116680357</v>
      </c>
      <c r="AN250" s="82">
        <f>AN$110/Population!AV$155</f>
        <v>0.93949711891042431</v>
      </c>
      <c r="AO250" s="82">
        <f>AO$110/Population!AW$155</f>
        <v>0.93947834894910098</v>
      </c>
      <c r="AP250" s="82">
        <f>AP$110/Population!AX$155</f>
        <v>0.93931795386158479</v>
      </c>
      <c r="AQ250" s="82">
        <f>AQ$110/Population!AY$155</f>
        <v>0.93960569004242578</v>
      </c>
      <c r="AR250" s="82">
        <f>AR$110/Population!AZ$155</f>
        <v>0.93937087772704209</v>
      </c>
      <c r="AS250" s="82">
        <f>AS$110/Population!BA$155</f>
        <v>0.93968172484599588</v>
      </c>
      <c r="AT250" s="82">
        <f>AT$110/Population!BB$155</f>
        <v>0.93947232281427828</v>
      </c>
      <c r="AU250" s="82">
        <f>AU$110/Population!BC$155</f>
        <v>0.93944181147972616</v>
      </c>
      <c r="AV250" s="82">
        <f>AV$110/Population!BD$155</f>
        <v>0.93957783641160952</v>
      </c>
      <c r="AW250" s="82">
        <f>AW$110/Population!BE$155</f>
        <v>0.93957063344818448</v>
      </c>
      <c r="AX250" s="82">
        <f>AX$110/Population!BF$155</f>
        <v>0.93948126801152743</v>
      </c>
      <c r="AY250" s="82">
        <f>AY$110/Population!BG$155</f>
        <v>0.93941737561227123</v>
      </c>
      <c r="AZ250" s="82">
        <f>AZ$110/Population!BH$155</f>
        <v>0.93950177935943058</v>
      </c>
      <c r="BA250" s="82">
        <f>BA$110/Population!BI$155</f>
        <v>0.93947764942240075</v>
      </c>
      <c r="BB250" s="82">
        <f>BB$110/Population!BJ$155</f>
        <v>0.93953719830803684</v>
      </c>
      <c r="BC250" s="82">
        <f>BC$110/Population!BK$155</f>
        <v>0.93943139678615573</v>
      </c>
      <c r="BD250" s="82">
        <f>BD$110/Population!BL$155</f>
        <v>0.93965517241379315</v>
      </c>
    </row>
    <row r="251" spans="3:56" x14ac:dyDescent="0.2">
      <c r="C251" s="28">
        <v>46</v>
      </c>
      <c r="E251" s="82">
        <f>E$111/Population!M$156</f>
        <v>0.9140300415468201</v>
      </c>
      <c r="F251" s="82">
        <f>F$111/Population!N$156</f>
        <v>0.91559691912708596</v>
      </c>
      <c r="G251" s="82">
        <f>G$111/Population!O$156</f>
        <v>0.91744031830238726</v>
      </c>
      <c r="H251" s="82">
        <f>H$111/Population!P$156</f>
        <v>0.91925042589437822</v>
      </c>
      <c r="I251" s="82">
        <f>I$111/Population!Q$156</f>
        <v>0.92043847241867038</v>
      </c>
      <c r="J251" s="82">
        <f>J$111/Population!R$156</f>
        <v>0.92207321493294669</v>
      </c>
      <c r="K251" s="82">
        <f>K$111/Population!S$156</f>
        <v>0.9230210602759622</v>
      </c>
      <c r="L251" s="82">
        <f>L$111/Population!T$156</f>
        <v>0.92475908080059299</v>
      </c>
      <c r="M251" s="82">
        <f>M$111/Population!U$156</f>
        <v>0.92568542568542567</v>
      </c>
      <c r="N251" s="82">
        <f>N$111/Population!V$156</f>
        <v>0.92669971671388107</v>
      </c>
      <c r="O251" s="82">
        <f>O$111/Population!W$156</f>
        <v>0.92766104030313468</v>
      </c>
      <c r="P251" s="82">
        <f>P$111/Population!X$156</f>
        <v>0.92876618950238587</v>
      </c>
      <c r="Q251" s="82">
        <f>Q$111/Population!Y$156</f>
        <v>0.92950819672131146</v>
      </c>
      <c r="R251" s="82">
        <f>R$111/Population!Z$156</f>
        <v>0.93038994521430873</v>
      </c>
      <c r="S251" s="82">
        <f>S$111/Population!AA$156</f>
        <v>0.9312202852614897</v>
      </c>
      <c r="T251" s="82">
        <f>T$111/Population!AB$156</f>
        <v>0.93167324627998782</v>
      </c>
      <c r="U251" s="82">
        <f>U$111/Population!AC$156</f>
        <v>0.93244418672078866</v>
      </c>
      <c r="V251" s="82">
        <f>V$111/Population!AD$156</f>
        <v>0.93307522123893805</v>
      </c>
      <c r="W251" s="82">
        <f>W$111/Population!AE$156</f>
        <v>0.93366414207364845</v>
      </c>
      <c r="X251" s="82">
        <f>X$111/Population!AF$156</f>
        <v>0.93405511811023623</v>
      </c>
      <c r="Y251" s="82">
        <f>Y$111/Population!AG$156</f>
        <v>0.93442622950819676</v>
      </c>
      <c r="Z251" s="82">
        <f>Z$111/Population!AH$156</f>
        <v>0.93483825925064001</v>
      </c>
      <c r="AA251" s="82">
        <f>AA$111/Population!AI$156</f>
        <v>0.93543924371685494</v>
      </c>
      <c r="AB251" s="82">
        <f>AB$111/Population!AJ$156</f>
        <v>0.93565746373420688</v>
      </c>
      <c r="AC251" s="82">
        <f>AC$111/Population!AK$156</f>
        <v>0.9359123747378234</v>
      </c>
      <c r="AD251" s="82">
        <f>AD$111/Population!AL$156</f>
        <v>0.93606557377049182</v>
      </c>
      <c r="AE251" s="82">
        <f>AE$111/Population!AM$156</f>
        <v>0.93640350877192979</v>
      </c>
      <c r="AF251" s="82">
        <f>AF$111/Population!AN$156</f>
        <v>0.93662324649298601</v>
      </c>
      <c r="AG251" s="82">
        <f>AG$111/Population!AO$156</f>
        <v>0.93690199120765449</v>
      </c>
      <c r="AH251" s="82">
        <f>AH$111/Population!AP$156</f>
        <v>0.93688820195775369</v>
      </c>
      <c r="AI251" s="82">
        <f>AI$111/Population!AQ$156</f>
        <v>0.93718257150494522</v>
      </c>
      <c r="AJ251" s="82">
        <f>AJ$111/Population!AR$156</f>
        <v>0.9374298540965208</v>
      </c>
      <c r="AK251" s="82">
        <f>AK$111/Population!AS$156</f>
        <v>0.93748247827305864</v>
      </c>
      <c r="AL251" s="82">
        <f>AL$111/Population!AT$156</f>
        <v>0.9375</v>
      </c>
      <c r="AM251" s="82">
        <f>AM$111/Population!AU$156</f>
        <v>0.93744787322768974</v>
      </c>
      <c r="AN251" s="82">
        <f>AN$111/Population!AV$156</f>
        <v>0.93756845564074476</v>
      </c>
      <c r="AO251" s="82">
        <f>AO$111/Population!AW$156</f>
        <v>0.93768002094789216</v>
      </c>
      <c r="AP251" s="82">
        <f>AP$111/Population!AX$156</f>
        <v>0.9377215189873418</v>
      </c>
      <c r="AQ251" s="82">
        <f>AQ$111/Population!AY$156</f>
        <v>0.93757834043619959</v>
      </c>
      <c r="AR251" s="82">
        <f>AR$111/Population!AZ$156</f>
        <v>0.93762475049900196</v>
      </c>
      <c r="AS251" s="82">
        <f>AS$111/Population!BA$156</f>
        <v>0.93761095612477807</v>
      </c>
      <c r="AT251" s="82">
        <f>AT$111/Population!BB$156</f>
        <v>0.93790094944829361</v>
      </c>
      <c r="AU251" s="82">
        <f>AU$111/Population!BC$156</f>
        <v>0.93793638479441432</v>
      </c>
      <c r="AV251" s="82">
        <f>AV$111/Population!BD$156</f>
        <v>0.93761516188470651</v>
      </c>
      <c r="AW251" s="82">
        <f>AW$111/Population!BE$156</f>
        <v>0.9377472962279082</v>
      </c>
      <c r="AX251" s="82">
        <f>AX$111/Population!BF$156</f>
        <v>0.93773184949655541</v>
      </c>
      <c r="AY251" s="82">
        <f>AY$111/Population!BG$156</f>
        <v>0.93792561550550024</v>
      </c>
      <c r="AZ251" s="82">
        <f>AZ$111/Population!BH$156</f>
        <v>0.93788659793814433</v>
      </c>
      <c r="BA251" s="82">
        <f>BA$111/Population!BI$156</f>
        <v>0.9377540650406504</v>
      </c>
      <c r="BB251" s="82">
        <f>BB$111/Population!BJ$156</f>
        <v>0.93773537534521723</v>
      </c>
      <c r="BC251" s="82">
        <f>BC$111/Population!BK$156</f>
        <v>0.93757771698582437</v>
      </c>
      <c r="BD251" s="82">
        <f>BD$111/Population!BL$156</f>
        <v>0.93771626297577859</v>
      </c>
    </row>
    <row r="252" spans="3:56" x14ac:dyDescent="0.2">
      <c r="C252" s="28">
        <v>47</v>
      </c>
      <c r="E252" s="82">
        <f>E$112/Population!M$157</f>
        <v>0.91227495908346967</v>
      </c>
      <c r="F252" s="82">
        <f>F$112/Population!N$157</f>
        <v>0.91422193877551017</v>
      </c>
      <c r="G252" s="82">
        <f>G$112/Population!O$157</f>
        <v>0.91573213713553347</v>
      </c>
      <c r="H252" s="82">
        <f>H$112/Population!P$157</f>
        <v>0.91719112288837368</v>
      </c>
      <c r="I252" s="82">
        <f>I$112/Population!Q$157</f>
        <v>0.91890971039182279</v>
      </c>
      <c r="J252" s="82">
        <f>J$112/Population!R$157</f>
        <v>0.92035398230088494</v>
      </c>
      <c r="K252" s="82">
        <f>K$112/Population!S$157</f>
        <v>0.92165397170837871</v>
      </c>
      <c r="L252" s="82">
        <f>L$112/Population!T$157</f>
        <v>0.92293711377680843</v>
      </c>
      <c r="M252" s="82">
        <f>M$112/Population!U$157</f>
        <v>0.92396142433234418</v>
      </c>
      <c r="N252" s="82">
        <f>N$112/Population!V$157</f>
        <v>0.92490974729241882</v>
      </c>
      <c r="O252" s="82">
        <f>O$112/Population!W$157</f>
        <v>0.92593905031892276</v>
      </c>
      <c r="P252" s="82">
        <f>P$112/Population!X$157</f>
        <v>0.92692175112030339</v>
      </c>
      <c r="Q252" s="82">
        <f>Q$112/Population!Y$157</f>
        <v>0.92769440654843105</v>
      </c>
      <c r="R252" s="82">
        <f>R$112/Population!Z$157</f>
        <v>0.9288057742782152</v>
      </c>
      <c r="S252" s="82">
        <f>S$112/Population!AA$157</f>
        <v>0.9293776201225411</v>
      </c>
      <c r="T252" s="82">
        <f>T$112/Population!AB$157</f>
        <v>0.92990802410402795</v>
      </c>
      <c r="U252" s="82">
        <f>U$112/Population!AC$157</f>
        <v>0.93041628684290489</v>
      </c>
      <c r="V252" s="82">
        <f>V$112/Population!AD$157</f>
        <v>0.93122460824143938</v>
      </c>
      <c r="W252" s="82">
        <f>W$112/Population!AE$157</f>
        <v>0.93165467625899279</v>
      </c>
      <c r="X252" s="82">
        <f>X$112/Population!AF$157</f>
        <v>0.93206166710216876</v>
      </c>
      <c r="Y252" s="82">
        <f>Y$112/Population!AG$157</f>
        <v>0.93277517852745628</v>
      </c>
      <c r="Z252" s="82">
        <f>Z$112/Population!AH$157</f>
        <v>0.93320834309819545</v>
      </c>
      <c r="AA252" s="82">
        <f>AA$112/Population!AI$157</f>
        <v>0.93339543549138337</v>
      </c>
      <c r="AB252" s="82">
        <f>AB$112/Population!AJ$157</f>
        <v>0.93379469434832751</v>
      </c>
      <c r="AC252" s="82">
        <f>AC$112/Population!AK$157</f>
        <v>0.9339887640449438</v>
      </c>
      <c r="AD252" s="82">
        <f>AD$112/Population!AL$157</f>
        <v>0.93425040802051762</v>
      </c>
      <c r="AE252" s="82">
        <f>AE$112/Population!AM$157</f>
        <v>0.93461448324349661</v>
      </c>
      <c r="AF252" s="82">
        <f>AF$112/Population!AN$157</f>
        <v>0.93490980009751345</v>
      </c>
      <c r="AG252" s="82">
        <f>AG$112/Population!AO$157</f>
        <v>0.93508771929824563</v>
      </c>
      <c r="AH252" s="82">
        <f>AH$112/Population!AP$157</f>
        <v>0.93507501293326434</v>
      </c>
      <c r="AI252" s="82">
        <f>AI$112/Population!AQ$157</f>
        <v>0.93530927835051547</v>
      </c>
      <c r="AJ252" s="82">
        <f>AJ$112/Population!AR$157</f>
        <v>0.93529411764705883</v>
      </c>
      <c r="AK252" s="82">
        <f>AK$112/Population!AS$157</f>
        <v>0.93518518518518523</v>
      </c>
      <c r="AL252" s="82">
        <f>AL$112/Population!AT$157</f>
        <v>0.93552004485562101</v>
      </c>
      <c r="AM252" s="82">
        <f>AM$112/Population!AU$157</f>
        <v>0.93582295988934994</v>
      </c>
      <c r="AN252" s="82">
        <f>AN$112/Population!AV$157</f>
        <v>0.93576195773081206</v>
      </c>
      <c r="AO252" s="82">
        <f>AO$112/Population!AW$157</f>
        <v>0.93590797041906326</v>
      </c>
      <c r="AP252" s="82">
        <f>AP$112/Population!AX$157</f>
        <v>0.93583027763226823</v>
      </c>
      <c r="AQ252" s="82">
        <f>AQ$112/Population!AY$157</f>
        <v>0.93593314763231195</v>
      </c>
      <c r="AR252" s="82">
        <f>AR$112/Population!AZ$157</f>
        <v>0.93580742226680036</v>
      </c>
      <c r="AS252" s="82">
        <f>AS$112/Population!BA$157</f>
        <v>0.93586224107811333</v>
      </c>
      <c r="AT252" s="82">
        <f>AT$112/Population!BB$157</f>
        <v>0.93581938102486051</v>
      </c>
      <c r="AU252" s="82">
        <f>AU$112/Population!BC$157</f>
        <v>0.93584808827303056</v>
      </c>
      <c r="AV252" s="82">
        <f>AV$112/Population!BD$157</f>
        <v>0.93586759762089478</v>
      </c>
      <c r="AW252" s="82">
        <f>AW$112/Population!BE$157</f>
        <v>0.93577257172940242</v>
      </c>
      <c r="AX252" s="82">
        <f>AX$112/Population!BF$157</f>
        <v>0.9359008177261936</v>
      </c>
      <c r="AY252" s="82">
        <f>AY$112/Population!BG$157</f>
        <v>0.93587705352411232</v>
      </c>
      <c r="AZ252" s="82">
        <f>AZ$112/Population!BH$157</f>
        <v>0.93609219486642226</v>
      </c>
      <c r="BA252" s="82">
        <f>BA$112/Population!BI$157</f>
        <v>0.93582474226804124</v>
      </c>
      <c r="BB252" s="82">
        <f>BB$112/Population!BJ$157</f>
        <v>0.93572154471544711</v>
      </c>
      <c r="BC252" s="82">
        <f>BC$112/Population!BK$157</f>
        <v>0.9359779061009289</v>
      </c>
      <c r="BD252" s="82">
        <f>BD$112/Population!BL$157</f>
        <v>0.93583685650335735</v>
      </c>
    </row>
    <row r="253" spans="3:56" x14ac:dyDescent="0.2">
      <c r="C253" s="28">
        <v>48</v>
      </c>
      <c r="E253" s="82">
        <f>E$113/Population!M$158</f>
        <v>0.91072010426849137</v>
      </c>
      <c r="F253" s="82">
        <f>F$113/Population!N$158</f>
        <v>0.91274509803921566</v>
      </c>
      <c r="G253" s="82">
        <f>G$113/Population!O$158</f>
        <v>0.91430391844536474</v>
      </c>
      <c r="H253" s="82">
        <f>H$113/Population!P$158</f>
        <v>0.91573213713553347</v>
      </c>
      <c r="I253" s="82">
        <f>I$113/Population!Q$158</f>
        <v>0.9171362280411004</v>
      </c>
      <c r="J253" s="82">
        <f>J$113/Population!R$158</f>
        <v>0.91845786421016717</v>
      </c>
      <c r="K253" s="82">
        <f>K$113/Population!S$158</f>
        <v>0.91988656504785538</v>
      </c>
      <c r="L253" s="82">
        <f>L$113/Population!T$158</f>
        <v>0.92117689792953139</v>
      </c>
      <c r="M253" s="82">
        <f>M$113/Population!U$158</f>
        <v>0.92212518195050941</v>
      </c>
      <c r="N253" s="82">
        <f>N$113/Population!V$158</f>
        <v>0.92313405124396586</v>
      </c>
      <c r="O253" s="82">
        <f>O$113/Population!W$158</f>
        <v>0.92410552945428259</v>
      </c>
      <c r="P253" s="82">
        <f>P$113/Population!X$158</f>
        <v>0.92512420156139108</v>
      </c>
      <c r="Q253" s="82">
        <f>Q$113/Population!Y$158</f>
        <v>0.9261304798066966</v>
      </c>
      <c r="R253" s="82">
        <f>R$113/Population!Z$158</f>
        <v>0.92691256830601088</v>
      </c>
      <c r="S253" s="82">
        <f>S$113/Population!AA$158</f>
        <v>0.9274220032840722</v>
      </c>
      <c r="T253" s="82">
        <f>T$113/Population!AB$158</f>
        <v>0.92831772683241842</v>
      </c>
      <c r="U253" s="82">
        <f>U$113/Population!AC$158</f>
        <v>0.92886630676405213</v>
      </c>
      <c r="V253" s="82">
        <f>V$113/Population!AD$158</f>
        <v>0.92941892303011864</v>
      </c>
      <c r="W253" s="82">
        <f>W$113/Population!AE$158</f>
        <v>0.92971246006389774</v>
      </c>
      <c r="X253" s="82">
        <f>X$113/Population!AF$158</f>
        <v>0.93019390581717454</v>
      </c>
      <c r="Y253" s="82">
        <f>Y$113/Population!AG$158</f>
        <v>0.93068270991368041</v>
      </c>
      <c r="Z253" s="82">
        <f>Z$113/Population!AH$158</f>
        <v>0.93122997288636922</v>
      </c>
      <c r="AA253" s="82">
        <f>AA$113/Population!AI$158</f>
        <v>0.93150363593713348</v>
      </c>
      <c r="AB253" s="82">
        <f>AB$113/Population!AJ$158</f>
        <v>0.93170163170163167</v>
      </c>
      <c r="AC253" s="82">
        <f>AC$113/Population!AK$158</f>
        <v>0.93211729392749942</v>
      </c>
      <c r="AD253" s="82">
        <f>AD$113/Population!AL$158</f>
        <v>0.93228678537956888</v>
      </c>
      <c r="AE253" s="82">
        <f>AE$113/Population!AM$158</f>
        <v>0.93255542590431739</v>
      </c>
      <c r="AF253" s="82">
        <f>AF$113/Population!AN$158</f>
        <v>0.93269230769230771</v>
      </c>
      <c r="AG253" s="82">
        <f>AG$113/Population!AO$158</f>
        <v>0.93291046596730909</v>
      </c>
      <c r="AH253" s="82">
        <f>AH$113/Population!AP$158</f>
        <v>0.93303235515425131</v>
      </c>
      <c r="AI253" s="82">
        <f>AI$113/Population!AQ$158</f>
        <v>0.93321252912244368</v>
      </c>
      <c r="AJ253" s="82">
        <f>AJ$113/Population!AR$158</f>
        <v>0.93345370131545014</v>
      </c>
      <c r="AK253" s="82">
        <f>AK$113/Population!AS$158</f>
        <v>0.9333868378812199</v>
      </c>
      <c r="AL253" s="82">
        <f>AL$113/Population!AT$158</f>
        <v>0.93372648132547043</v>
      </c>
      <c r="AM253" s="82">
        <f>AM$113/Population!AU$158</f>
        <v>0.93378226711560042</v>
      </c>
      <c r="AN253" s="82">
        <f>AN$113/Population!AV$158</f>
        <v>0.93384998616108494</v>
      </c>
      <c r="AO253" s="82">
        <f>AO$113/Population!AW$158</f>
        <v>0.93377851975514747</v>
      </c>
      <c r="AP253" s="82">
        <f>AP$113/Population!AX$158</f>
        <v>0.93395450808440672</v>
      </c>
      <c r="AQ253" s="82">
        <f>AQ$113/Population!AY$158</f>
        <v>0.93396226415094341</v>
      </c>
      <c r="AR253" s="82">
        <f>AR$113/Population!AZ$158</f>
        <v>0.93387382822396758</v>
      </c>
      <c r="AS253" s="82">
        <f>AS$113/Population!BA$158</f>
        <v>0.93376818866031108</v>
      </c>
      <c r="AT253" s="82">
        <f>AT$113/Population!BB$158</f>
        <v>0.93408239700374529</v>
      </c>
      <c r="AU253" s="82">
        <f>AU$113/Population!BC$158</f>
        <v>0.93401015228426398</v>
      </c>
      <c r="AV253" s="82">
        <f>AV$113/Population!BD$158</f>
        <v>0.93401797175866497</v>
      </c>
      <c r="AW253" s="82">
        <f>AW$113/Population!BE$158</f>
        <v>0.93402328589909445</v>
      </c>
      <c r="AX253" s="82">
        <f>AX$113/Population!BF$158</f>
        <v>0.93389518040558339</v>
      </c>
      <c r="AY253" s="82">
        <f>AY$113/Population!BG$158</f>
        <v>0.93377308707124007</v>
      </c>
      <c r="AZ253" s="82">
        <f>AZ$113/Population!BH$158</f>
        <v>0.93398727465535525</v>
      </c>
      <c r="BA253" s="82">
        <f>BA$113/Population!BI$158</f>
        <v>0.93397956510348445</v>
      </c>
      <c r="BB253" s="82">
        <f>BB$113/Population!BJ$158</f>
        <v>0.93374581077597318</v>
      </c>
      <c r="BC253" s="82">
        <f>BC$113/Population!BK$158</f>
        <v>0.93390950686324348</v>
      </c>
      <c r="BD253" s="82">
        <f>BD$113/Population!BL$158</f>
        <v>0.93395278754394773</v>
      </c>
    </row>
    <row r="254" spans="3:56" x14ac:dyDescent="0.2">
      <c r="C254" s="28">
        <v>49</v>
      </c>
      <c r="E254" s="82">
        <f>E$114/Population!M$159</f>
        <v>0.90930155577623306</v>
      </c>
      <c r="F254" s="82">
        <f>F$114/Population!N$159</f>
        <v>0.91110387495929668</v>
      </c>
      <c r="G254" s="82">
        <f>G$114/Population!O$159</f>
        <v>0.91244691277360335</v>
      </c>
      <c r="H254" s="82">
        <f>H$114/Population!P$159</f>
        <v>0.91424928275422379</v>
      </c>
      <c r="I254" s="82">
        <f>I$114/Population!Q$159</f>
        <v>0.91530317613089507</v>
      </c>
      <c r="J254" s="82">
        <f>J$114/Population!R$159</f>
        <v>0.91663899036864827</v>
      </c>
      <c r="K254" s="82">
        <f>K$114/Population!S$159</f>
        <v>0.91829059829059834</v>
      </c>
      <c r="L254" s="82">
        <f>L$114/Population!T$159</f>
        <v>0.91903409090909094</v>
      </c>
      <c r="M254" s="82">
        <f>M$114/Population!U$159</f>
        <v>0.92030567685589515</v>
      </c>
      <c r="N254" s="82">
        <f>N$114/Population!V$159</f>
        <v>0.92125410134888808</v>
      </c>
      <c r="O254" s="82">
        <f>O$114/Population!W$159</f>
        <v>0.92224702380952384</v>
      </c>
      <c r="P254" s="82">
        <f>P$114/Population!X$159</f>
        <v>0.92324402606806666</v>
      </c>
      <c r="Q254" s="82">
        <f>Q$114/Population!Y$159</f>
        <v>0.92395167022032698</v>
      </c>
      <c r="R254" s="82">
        <f>R$114/Population!Z$159</f>
        <v>0.92464569650881434</v>
      </c>
      <c r="S254" s="82">
        <f>S$114/Population!AA$159</f>
        <v>0.92544459644322841</v>
      </c>
      <c r="T254" s="82">
        <f>T$114/Population!AB$159</f>
        <v>0.92598684210526316</v>
      </c>
      <c r="U254" s="82">
        <f>U$114/Population!AC$159</f>
        <v>0.92660847074038155</v>
      </c>
      <c r="V254" s="82">
        <f>V$114/Population!AD$159</f>
        <v>0.9271860095389507</v>
      </c>
      <c r="W254" s="82">
        <f>W$114/Population!AE$159</f>
        <v>0.92778793418647165</v>
      </c>
      <c r="X254" s="82">
        <f>X$114/Population!AF$159</f>
        <v>0.92815590459569519</v>
      </c>
      <c r="Y254" s="82">
        <f>Y$114/Population!AG$159</f>
        <v>0.92871012482662973</v>
      </c>
      <c r="Z254" s="82">
        <f>Z$114/Population!AH$159</f>
        <v>0.929020429544264</v>
      </c>
      <c r="AA254" s="82">
        <f>AA$114/Population!AI$159</f>
        <v>0.92941757156959526</v>
      </c>
      <c r="AB254" s="82">
        <f>AB$114/Population!AJ$159</f>
        <v>0.92954438703616726</v>
      </c>
      <c r="AC254" s="82">
        <f>AC$114/Population!AK$159</f>
        <v>0.92975495915985995</v>
      </c>
      <c r="AD254" s="82">
        <f>AD$114/Population!AL$159</f>
        <v>0.93017341040462431</v>
      </c>
      <c r="AE254" s="82">
        <f>AE$114/Population!AM$159</f>
        <v>0.93033075299085155</v>
      </c>
      <c r="AF254" s="82">
        <f>AF$114/Population!AN$159</f>
        <v>0.93060747663551402</v>
      </c>
      <c r="AG254" s="82">
        <f>AG$114/Population!AO$159</f>
        <v>0.93073491429913124</v>
      </c>
      <c r="AH254" s="82">
        <f>AH$114/Population!AP$159</f>
        <v>0.93087445041524186</v>
      </c>
      <c r="AI254" s="82">
        <f>AI$114/Population!AQ$159</f>
        <v>0.93095656540296257</v>
      </c>
      <c r="AJ254" s="82">
        <f>AJ$114/Population!AR$159</f>
        <v>0.93107022544700702</v>
      </c>
      <c r="AK254" s="82">
        <f>AK$114/Population!AS$159</f>
        <v>0.93107898812596801</v>
      </c>
      <c r="AL254" s="82">
        <f>AL$114/Population!AT$159</f>
        <v>0.93117300482056775</v>
      </c>
      <c r="AM254" s="82">
        <f>AM$114/Population!AU$159</f>
        <v>0.93142214727374928</v>
      </c>
      <c r="AN254" s="82">
        <f>AN$114/Population!AV$159</f>
        <v>0.93147992137040159</v>
      </c>
      <c r="AO254" s="82">
        <f>AO$114/Population!AW$159</f>
        <v>0.93157894736842106</v>
      </c>
      <c r="AP254" s="82">
        <f>AP$114/Population!AX$159</f>
        <v>0.93149540517961571</v>
      </c>
      <c r="AQ254" s="82">
        <f>AQ$114/Population!AY$159</f>
        <v>0.93170597915523867</v>
      </c>
      <c r="AR254" s="82">
        <f>AR$114/Population!AZ$159</f>
        <v>0.9315499606608969</v>
      </c>
      <c r="AS254" s="82">
        <f>AS$114/Population!BA$159</f>
        <v>0.93154158215010141</v>
      </c>
      <c r="AT254" s="82">
        <f>AT$114/Population!BB$159</f>
        <v>0.93145869947275928</v>
      </c>
      <c r="AU254" s="82">
        <f>AU$114/Population!BC$159</f>
        <v>0.93178410794602695</v>
      </c>
      <c r="AV254" s="82">
        <f>AV$114/Population!BD$159</f>
        <v>0.93167386334772673</v>
      </c>
      <c r="AW254" s="82">
        <f>AW$114/Population!BE$159</f>
        <v>0.93165467625899279</v>
      </c>
      <c r="AX254" s="82">
        <f>AX$114/Population!BF$159</f>
        <v>0.93165933212529117</v>
      </c>
      <c r="AY254" s="82">
        <f>AY$114/Population!BG$159</f>
        <v>0.93173431734317347</v>
      </c>
      <c r="AZ254" s="82">
        <f>AZ$114/Population!BH$159</f>
        <v>0.93160813308687618</v>
      </c>
      <c r="BA254" s="82">
        <f>BA$114/Population!BI$159</f>
        <v>0.93156498673740051</v>
      </c>
      <c r="BB254" s="82">
        <f>BB$114/Population!BJ$159</f>
        <v>0.93158584534731326</v>
      </c>
      <c r="BC254" s="82">
        <f>BC$114/Population!BK$159</f>
        <v>0.93163054695562431</v>
      </c>
      <c r="BD254" s="82">
        <f>BD$114/Population!BL$159</f>
        <v>0.93158697863682605</v>
      </c>
    </row>
    <row r="255" spans="3:56" x14ac:dyDescent="0.2">
      <c r="C255" s="28">
        <v>50</v>
      </c>
      <c r="E255" s="82">
        <f>E$115/Population!M$160</f>
        <v>0.90725126475548057</v>
      </c>
      <c r="F255" s="82">
        <f>F$115/Population!N$160</f>
        <v>0.90900066181336858</v>
      </c>
      <c r="G255" s="82">
        <f>G$115/Population!O$160</f>
        <v>0.9104234527687296</v>
      </c>
      <c r="H255" s="82">
        <f>H$115/Population!P$160</f>
        <v>0.91203400915631128</v>
      </c>
      <c r="I255" s="82">
        <f>I$115/Population!Q$160</f>
        <v>0.91315453384418899</v>
      </c>
      <c r="J255" s="82">
        <f>J$115/Population!R$160</f>
        <v>0.91446945337620578</v>
      </c>
      <c r="K255" s="82">
        <f>K$115/Population!S$160</f>
        <v>0.91577896138482029</v>
      </c>
      <c r="L255" s="82">
        <f>L$115/Population!T$160</f>
        <v>0.91675231243576571</v>
      </c>
      <c r="M255" s="82">
        <f>M$115/Population!U$160</f>
        <v>0.91779359430604979</v>
      </c>
      <c r="N255" s="82">
        <f>N$115/Population!V$160</f>
        <v>0.91903719912472648</v>
      </c>
      <c r="O255" s="82">
        <f>O$115/Population!W$160</f>
        <v>0.91998538545853126</v>
      </c>
      <c r="P255" s="82">
        <f>P$115/Population!X$160</f>
        <v>0.92061125605665295</v>
      </c>
      <c r="Q255" s="82">
        <f>Q$115/Population!Y$160</f>
        <v>0.92162554426705368</v>
      </c>
      <c r="R255" s="82">
        <f>R$115/Population!Z$160</f>
        <v>0.92236467236467234</v>
      </c>
      <c r="S255" s="82">
        <f>S$115/Population!AA$160</f>
        <v>0.92310356771735369</v>
      </c>
      <c r="T255" s="82">
        <f>T$115/Population!AB$160</f>
        <v>0.92357779300891019</v>
      </c>
      <c r="U255" s="82">
        <f>U$115/Population!AC$160</f>
        <v>0.92421746293245466</v>
      </c>
      <c r="V255" s="82">
        <f>V$115/Population!AD$160</f>
        <v>0.92484612892776163</v>
      </c>
      <c r="W255" s="82">
        <f>W$115/Population!AE$160</f>
        <v>0.92545396623128384</v>
      </c>
      <c r="X255" s="82">
        <f>X$115/Population!AF$160</f>
        <v>0.92554165395178511</v>
      </c>
      <c r="Y255" s="82">
        <f>Y$115/Population!AG$160</f>
        <v>0.92628205128205132</v>
      </c>
      <c r="Z255" s="82">
        <f>Z$115/Population!AH$160</f>
        <v>0.92664629063628789</v>
      </c>
      <c r="AA255" s="82">
        <f>AA$115/Population!AI$160</f>
        <v>0.92681007345225608</v>
      </c>
      <c r="AB255" s="82">
        <f>AB$115/Population!AJ$160</f>
        <v>0.9270884824518042</v>
      </c>
      <c r="AC255" s="82">
        <f>AC$115/Population!AK$160</f>
        <v>0.92732831608654753</v>
      </c>
      <c r="AD255" s="82">
        <f>AD$115/Population!AL$160</f>
        <v>0.92776998597475457</v>
      </c>
      <c r="AE255" s="82">
        <f>AE$115/Population!AM$160</f>
        <v>0.92799259087751795</v>
      </c>
      <c r="AF255" s="82">
        <f>AF$115/Population!AN$160</f>
        <v>0.92811839323467227</v>
      </c>
      <c r="AG255" s="82">
        <f>AG$115/Population!AO$160</f>
        <v>0.92817033224145995</v>
      </c>
      <c r="AH255" s="82">
        <f>AH$115/Population!AP$160</f>
        <v>0.92828591582412412</v>
      </c>
      <c r="AI255" s="82">
        <f>AI$115/Population!AQ$160</f>
        <v>0.92858889704084124</v>
      </c>
      <c r="AJ255" s="82">
        <f>AJ$115/Population!AR$160</f>
        <v>0.92860734037204629</v>
      </c>
      <c r="AK255" s="82">
        <f>AK$115/Population!AS$160</f>
        <v>0.92864556305137524</v>
      </c>
      <c r="AL255" s="82">
        <f>AL$115/Population!AT$160</f>
        <v>0.92866373739984487</v>
      </c>
      <c r="AM255" s="82">
        <f>AM$115/Population!AU$160</f>
        <v>0.92868632707774801</v>
      </c>
      <c r="AN255" s="82">
        <f>AN$115/Population!AV$160</f>
        <v>0.92881260551491274</v>
      </c>
      <c r="AO255" s="82">
        <f>AO$115/Population!AW$160</f>
        <v>0.9288726454877706</v>
      </c>
      <c r="AP255" s="82">
        <f>AP$115/Population!AX$160</f>
        <v>0.92900721020521349</v>
      </c>
      <c r="AQ255" s="82">
        <f>AQ$115/Population!AY$160</f>
        <v>0.92918873710621686</v>
      </c>
      <c r="AR255" s="82">
        <f>AR$115/Population!AZ$160</f>
        <v>0.92915980230642503</v>
      </c>
      <c r="AS255" s="82">
        <f>AS$115/Population!BA$160</f>
        <v>0.92911525334733525</v>
      </c>
      <c r="AT255" s="82">
        <f>AT$115/Population!BB$160</f>
        <v>0.92893401015228427</v>
      </c>
      <c r="AU255" s="82">
        <f>AU$115/Population!BC$160</f>
        <v>0.92887660216134704</v>
      </c>
      <c r="AV255" s="82">
        <f>AV$115/Population!BD$160</f>
        <v>0.9292146073036518</v>
      </c>
      <c r="AW255" s="82">
        <f>AW$115/Population!BE$160</f>
        <v>0.92907981698017283</v>
      </c>
      <c r="AX255" s="82">
        <f>AX$115/Population!BF$160</f>
        <v>0.92903059912573926</v>
      </c>
      <c r="AY255" s="82">
        <f>AY$115/Population!BG$160</f>
        <v>0.9289971495206012</v>
      </c>
      <c r="AZ255" s="82">
        <f>AZ$115/Population!BH$160</f>
        <v>0.92904246900553944</v>
      </c>
      <c r="BA255" s="82">
        <f>BA$115/Population!BI$160</f>
        <v>0.92891120507399583</v>
      </c>
      <c r="BB255" s="82">
        <f>BB$115/Population!BJ$160</f>
        <v>0.92912131669763742</v>
      </c>
      <c r="BC255" s="82">
        <f>BC$115/Population!BK$160</f>
        <v>0.92915245342429809</v>
      </c>
      <c r="BD255" s="82">
        <f>BD$115/Population!BL$160</f>
        <v>0.92899561063774849</v>
      </c>
    </row>
    <row r="256" spans="3:56" x14ac:dyDescent="0.2">
      <c r="C256" s="28">
        <v>51</v>
      </c>
      <c r="E256" s="82">
        <f>E$116/Population!M$161</f>
        <v>0.90503355704697985</v>
      </c>
      <c r="F256" s="82">
        <f>F$116/Population!N$161</f>
        <v>0.90657672849915683</v>
      </c>
      <c r="G256" s="82">
        <f>G$116/Population!O$161</f>
        <v>0.90827814569536425</v>
      </c>
      <c r="H256" s="82">
        <f>H$116/Population!P$161</f>
        <v>0.90965427266797128</v>
      </c>
      <c r="I256" s="82">
        <f>I$116/Population!Q$161</f>
        <v>0.91087811271297514</v>
      </c>
      <c r="J256" s="82">
        <f>J$116/Population!R$161</f>
        <v>0.9119718309859155</v>
      </c>
      <c r="K256" s="82">
        <f>K$116/Population!S$161</f>
        <v>0.91328175370728559</v>
      </c>
      <c r="L256" s="82">
        <f>L$116/Population!T$161</f>
        <v>0.9145527369826435</v>
      </c>
      <c r="M256" s="82">
        <f>M$116/Population!U$161</f>
        <v>0.9151785714285714</v>
      </c>
      <c r="N256" s="82">
        <f>N$116/Population!V$161</f>
        <v>0.91651801641098818</v>
      </c>
      <c r="O256" s="82">
        <f>O$116/Population!W$161</f>
        <v>0.91739766081871343</v>
      </c>
      <c r="P256" s="82">
        <f>P$116/Population!X$161</f>
        <v>0.9179787623581106</v>
      </c>
      <c r="Q256" s="82">
        <f>Q$116/Population!Y$161</f>
        <v>0.91893911094508773</v>
      </c>
      <c r="R256" s="82">
        <f>R$116/Population!Z$161</f>
        <v>0.91963636363636359</v>
      </c>
      <c r="S256" s="82">
        <f>S$116/Population!AA$161</f>
        <v>0.92041399000713775</v>
      </c>
      <c r="T256" s="82">
        <f>T$116/Population!AB$161</f>
        <v>0.92086081221797988</v>
      </c>
      <c r="U256" s="82">
        <f>U$116/Population!AC$161</f>
        <v>0.92170329670329665</v>
      </c>
      <c r="V256" s="82">
        <f>V$116/Population!AD$161</f>
        <v>0.9220607661822986</v>
      </c>
      <c r="W256" s="82">
        <f>W$116/Population!AE$161</f>
        <v>0.92242778318727681</v>
      </c>
      <c r="X256" s="82">
        <f>X$116/Population!AF$161</f>
        <v>0.92307692307692313</v>
      </c>
      <c r="Y256" s="82">
        <f>Y$116/Population!AG$161</f>
        <v>0.92326505655762758</v>
      </c>
      <c r="Z256" s="82">
        <f>Z$116/Population!AH$161</f>
        <v>0.92352597781669588</v>
      </c>
      <c r="AA256" s="82">
        <f>AA$116/Population!AI$161</f>
        <v>0.92401892568883937</v>
      </c>
      <c r="AB256" s="82">
        <f>AB$116/Population!AJ$161</f>
        <v>0.92431011826544018</v>
      </c>
      <c r="AC256" s="82">
        <f>AC$116/Population!AK$161</f>
        <v>0.92448625897499381</v>
      </c>
      <c r="AD256" s="82">
        <f>AD$116/Population!AL$161</f>
        <v>0.92461719670200238</v>
      </c>
      <c r="AE256" s="82">
        <f>AE$116/Population!AM$161</f>
        <v>0.92485955056179781</v>
      </c>
      <c r="AF256" s="82">
        <f>AF$116/Population!AN$161</f>
        <v>0.92511013215859028</v>
      </c>
      <c r="AG256" s="82">
        <f>AG$116/Population!AO$161</f>
        <v>0.9251940719830628</v>
      </c>
      <c r="AH256" s="82">
        <f>AH$116/Population!AP$161</f>
        <v>0.92549203373945643</v>
      </c>
      <c r="AI256" s="82">
        <f>AI$116/Population!AQ$161</f>
        <v>0.92559453732046149</v>
      </c>
      <c r="AJ256" s="82">
        <f>AJ$116/Population!AR$161</f>
        <v>0.92578986039676703</v>
      </c>
      <c r="AK256" s="82">
        <f>AK$116/Population!AS$161</f>
        <v>0.92573011077542799</v>
      </c>
      <c r="AL256" s="82">
        <f>AL$116/Population!AT$161</f>
        <v>0.92569498571057418</v>
      </c>
      <c r="AM256" s="82">
        <f>AM$116/Population!AU$161</f>
        <v>0.92572463768115942</v>
      </c>
      <c r="AN256" s="82">
        <f>AN$116/Population!AV$161</f>
        <v>0.92590604026845635</v>
      </c>
      <c r="AO256" s="82">
        <f>AO$116/Population!AW$161</f>
        <v>0.92589461820231056</v>
      </c>
      <c r="AP256" s="82">
        <f>AP$116/Population!AX$161</f>
        <v>0.92623873873873874</v>
      </c>
      <c r="AQ256" s="82">
        <f>AQ$116/Population!AY$161</f>
        <v>0.92587451415880062</v>
      </c>
      <c r="AR256" s="82">
        <f>AR$116/Population!AZ$161</f>
        <v>0.92603963159363667</v>
      </c>
      <c r="AS256" s="82">
        <f>AS$116/Population!BA$161</f>
        <v>0.92605827377680039</v>
      </c>
      <c r="AT256" s="82">
        <f>AT$116/Population!BB$161</f>
        <v>0.92614980289093296</v>
      </c>
      <c r="AU256" s="82">
        <f>AU$116/Population!BC$161</f>
        <v>0.92630241423125792</v>
      </c>
      <c r="AV256" s="82">
        <f>AV$116/Population!BD$161</f>
        <v>0.9262707599396075</v>
      </c>
      <c r="AW256" s="82">
        <f>AW$116/Population!BE$161</f>
        <v>0.92613920881321987</v>
      </c>
      <c r="AX256" s="82">
        <f>AX$116/Population!BF$161</f>
        <v>0.92618987019597865</v>
      </c>
      <c r="AY256" s="82">
        <f>AY$116/Population!BG$161</f>
        <v>0.92636457260556127</v>
      </c>
      <c r="AZ256" s="82">
        <f>AZ$116/Population!BH$161</f>
        <v>0.92607003891050588</v>
      </c>
      <c r="BA256" s="82">
        <f>BA$116/Population!BI$161</f>
        <v>0.92632690784261951</v>
      </c>
      <c r="BB256" s="82">
        <f>BB$116/Population!BJ$161</f>
        <v>0.92619047619047623</v>
      </c>
      <c r="BC256" s="82">
        <f>BC$116/Population!BK$161</f>
        <v>0.92612277438214186</v>
      </c>
      <c r="BD256" s="82">
        <f>BD$116/Population!BL$161</f>
        <v>0.92620798319327735</v>
      </c>
    </row>
    <row r="257" spans="3:56" x14ac:dyDescent="0.2">
      <c r="C257" s="28">
        <v>52</v>
      </c>
      <c r="E257" s="82">
        <f>E$117/Population!M$162</f>
        <v>0.90209790209790208</v>
      </c>
      <c r="F257" s="82">
        <f>F$117/Population!N$162</f>
        <v>0.9036589459550185</v>
      </c>
      <c r="G257" s="82">
        <f>G$117/Population!O$162</f>
        <v>0.90546927751519246</v>
      </c>
      <c r="H257" s="82">
        <f>H$117/Population!P$162</f>
        <v>0.90679933665008294</v>
      </c>
      <c r="I257" s="82">
        <f>I$117/Population!Q$162</f>
        <v>0.90784313725490196</v>
      </c>
      <c r="J257" s="82">
        <f>J$117/Population!R$162</f>
        <v>0.90930003286230698</v>
      </c>
      <c r="K257" s="82">
        <f>K$117/Population!S$162</f>
        <v>0.91043338683788122</v>
      </c>
      <c r="L257" s="82">
        <f>L$117/Population!T$162</f>
        <v>0.91141286776592301</v>
      </c>
      <c r="M257" s="82">
        <f>M$117/Population!U$162</f>
        <v>0.91234526597524257</v>
      </c>
      <c r="N257" s="82">
        <f>N$117/Population!V$162</f>
        <v>0.91322314049586772</v>
      </c>
      <c r="O257" s="82">
        <f>O$117/Population!W$162</f>
        <v>0.91416309012875541</v>
      </c>
      <c r="P257" s="82">
        <f>P$117/Population!X$162</f>
        <v>0.91498717478930014</v>
      </c>
      <c r="Q257" s="82">
        <f>Q$117/Population!Y$162</f>
        <v>0.91593245227606457</v>
      </c>
      <c r="R257" s="82">
        <f>R$117/Population!Z$162</f>
        <v>0.91613627854736057</v>
      </c>
      <c r="S257" s="82">
        <f>S$117/Population!AA$162</f>
        <v>0.91690962099125362</v>
      </c>
      <c r="T257" s="82">
        <f>T$117/Population!AB$162</f>
        <v>0.91773962804005726</v>
      </c>
      <c r="U257" s="82">
        <f>U$117/Population!AC$162</f>
        <v>0.91826086956521735</v>
      </c>
      <c r="V257" s="82">
        <f>V$117/Population!AD$162</f>
        <v>0.91878871300757059</v>
      </c>
      <c r="W257" s="82">
        <f>W$117/Population!AE$162</f>
        <v>0.91925876902713433</v>
      </c>
      <c r="X257" s="82">
        <f>X$117/Population!AF$162</f>
        <v>0.91967479674796748</v>
      </c>
      <c r="Y257" s="82">
        <f>Y$117/Population!AG$162</f>
        <v>0.9200511672529581</v>
      </c>
      <c r="Z257" s="82">
        <f>Z$117/Population!AH$162</f>
        <v>0.92034313725490191</v>
      </c>
      <c r="AA257" s="82">
        <f>AA$117/Population!AI$162</f>
        <v>0.92046783625730999</v>
      </c>
      <c r="AB257" s="82">
        <f>AB$117/Population!AJ$162</f>
        <v>0.92108198549916342</v>
      </c>
      <c r="AC257" s="82">
        <f>AC$117/Population!AK$162</f>
        <v>0.92103185048697023</v>
      </c>
      <c r="AD257" s="82">
        <f>AD$117/Population!AL$162</f>
        <v>0.92137896825396826</v>
      </c>
      <c r="AE257" s="82">
        <f>AE$117/Population!AM$162</f>
        <v>0.92164267170167569</v>
      </c>
      <c r="AF257" s="82">
        <f>AF$117/Population!AN$162</f>
        <v>0.92168815943728022</v>
      </c>
      <c r="AG257" s="82">
        <f>AG$117/Population!AO$162</f>
        <v>0.92196934509986062</v>
      </c>
      <c r="AH257" s="82">
        <f>AH$117/Population!AP$162</f>
        <v>0.92200754005655039</v>
      </c>
      <c r="AI257" s="82">
        <f>AI$117/Population!AQ$162</f>
        <v>0.9221022993899578</v>
      </c>
      <c r="AJ257" s="82">
        <f>AJ$117/Population!AR$162</f>
        <v>0.92218816316906393</v>
      </c>
      <c r="AK257" s="82">
        <f>AK$117/Population!AS$162</f>
        <v>0.92249202845229339</v>
      </c>
      <c r="AL257" s="82">
        <f>AL$117/Population!AT$162</f>
        <v>0.9223594655911268</v>
      </c>
      <c r="AM257" s="82">
        <f>AM$117/Population!AU$162</f>
        <v>0.92271662763466045</v>
      </c>
      <c r="AN257" s="82">
        <f>AN$117/Population!AV$162</f>
        <v>0.92275790565059612</v>
      </c>
      <c r="AO257" s="82">
        <f>AO$117/Population!AW$162</f>
        <v>0.92258064516129035</v>
      </c>
      <c r="AP257" s="82">
        <f>AP$117/Population!AX$162</f>
        <v>0.92268623024830698</v>
      </c>
      <c r="AQ257" s="82">
        <f>AQ$117/Population!AY$162</f>
        <v>0.92277339346110487</v>
      </c>
      <c r="AR257" s="82">
        <f>AR$117/Population!AZ$162</f>
        <v>0.92271337225465666</v>
      </c>
      <c r="AS257" s="82">
        <f>AS$117/Population!BA$162</f>
        <v>0.92286193404136385</v>
      </c>
      <c r="AT257" s="82">
        <f>AT$117/Population!BB$162</f>
        <v>0.92292870905587665</v>
      </c>
      <c r="AU257" s="82">
        <f>AU$117/Population!BC$162</f>
        <v>0.92289473684210521</v>
      </c>
      <c r="AV257" s="82">
        <f>AV$117/Population!BD$162</f>
        <v>0.92266598829814295</v>
      </c>
      <c r="AW257" s="82">
        <f>AW$117/Population!BE$162</f>
        <v>0.92267002518891683</v>
      </c>
      <c r="AX257" s="82">
        <f>AX$117/Population!BF$162</f>
        <v>0.92280701754385963</v>
      </c>
      <c r="AY257" s="82">
        <f>AY$117/Population!BG$162</f>
        <v>0.92280254777070059</v>
      </c>
      <c r="AZ257" s="82">
        <f>AZ$117/Population!BH$162</f>
        <v>0.92293814432989696</v>
      </c>
      <c r="BA257" s="82">
        <f>BA$117/Population!BI$162</f>
        <v>0.92287717475980269</v>
      </c>
      <c r="BB257" s="82">
        <f>BB$117/Population!BJ$162</f>
        <v>0.92281258260639709</v>
      </c>
      <c r="BC257" s="82">
        <f>BC$117/Population!BK$162</f>
        <v>0.92293432203389836</v>
      </c>
      <c r="BD257" s="82">
        <f>BD$117/Population!BL$162</f>
        <v>0.92285182229316309</v>
      </c>
    </row>
    <row r="258" spans="3:56" x14ac:dyDescent="0.2">
      <c r="C258" s="28">
        <v>53</v>
      </c>
      <c r="E258" s="82">
        <f>E$118/Population!M$163</f>
        <v>0.89854604200323107</v>
      </c>
      <c r="F258" s="82">
        <f>F$118/Population!N$163</f>
        <v>0.90036654448517162</v>
      </c>
      <c r="G258" s="82">
        <f>G$118/Population!O$163</f>
        <v>0.9018817204301075</v>
      </c>
      <c r="H258" s="82">
        <f>H$118/Population!P$163</f>
        <v>0.90361853229624622</v>
      </c>
      <c r="I258" s="82">
        <f>I$118/Population!Q$163</f>
        <v>0.9046194749086075</v>
      </c>
      <c r="J258" s="82">
        <f>J$118/Population!R$163</f>
        <v>0.90593248115372005</v>
      </c>
      <c r="K258" s="82">
        <f>K$118/Population!S$163</f>
        <v>0.90708401976935749</v>
      </c>
      <c r="L258" s="82">
        <f>L$118/Population!T$163</f>
        <v>0.90827164467331833</v>
      </c>
      <c r="M258" s="82">
        <f>M$118/Population!U$163</f>
        <v>0.90956239870340361</v>
      </c>
      <c r="N258" s="82">
        <f>N$118/Population!V$163</f>
        <v>0.9104327406910433</v>
      </c>
      <c r="O258" s="82">
        <f>O$118/Population!W$163</f>
        <v>0.91128753883327585</v>
      </c>
      <c r="P258" s="82">
        <f>P$118/Population!X$163</f>
        <v>0.91215489422732166</v>
      </c>
      <c r="Q258" s="82">
        <f>Q$118/Population!Y$163</f>
        <v>0.91296364304076383</v>
      </c>
      <c r="R258" s="82">
        <f>R$118/Population!Z$163</f>
        <v>0.91390728476821192</v>
      </c>
      <c r="S258" s="82">
        <f>S$118/Population!AA$163</f>
        <v>0.9144144144144144</v>
      </c>
      <c r="T258" s="82">
        <f>T$118/Population!AB$163</f>
        <v>0.91490138787436082</v>
      </c>
      <c r="U258" s="82">
        <f>U$118/Population!AC$163</f>
        <v>0.91541218637992827</v>
      </c>
      <c r="V258" s="82">
        <f>V$118/Population!AD$163</f>
        <v>0.91599860578598813</v>
      </c>
      <c r="W258" s="82">
        <f>W$118/Population!AE$163</f>
        <v>0.91655172413793107</v>
      </c>
      <c r="X258" s="82">
        <f>X$118/Population!AF$163</f>
        <v>0.91710875331564989</v>
      </c>
      <c r="Y258" s="82">
        <f>Y$118/Population!AG$163</f>
        <v>0.91756272401433692</v>
      </c>
      <c r="Z258" s="82">
        <f>Z$118/Population!AH$163</f>
        <v>0.91797500801025311</v>
      </c>
      <c r="AA258" s="82">
        <f>AA$118/Population!AI$163</f>
        <v>0.91835481890730508</v>
      </c>
      <c r="AB258" s="82">
        <f>AB$118/Population!AJ$163</f>
        <v>0.91827768014059752</v>
      </c>
      <c r="AC258" s="82">
        <f>AC$118/Population!AK$163</f>
        <v>0.91871508379888267</v>
      </c>
      <c r="AD258" s="82">
        <f>AD$118/Population!AL$163</f>
        <v>0.91904008438818563</v>
      </c>
      <c r="AE258" s="82">
        <f>AE$118/Population!AM$163</f>
        <v>0.91925465838509313</v>
      </c>
      <c r="AF258" s="82">
        <f>AF$118/Population!AN$163</f>
        <v>0.91940439612384783</v>
      </c>
      <c r="AG258" s="82">
        <f>AG$118/Population!AO$163</f>
        <v>0.9194457491780178</v>
      </c>
      <c r="AH258" s="82">
        <f>AH$118/Population!AP$163</f>
        <v>0.91974877878576411</v>
      </c>
      <c r="AI258" s="82">
        <f>AI$118/Population!AQ$163</f>
        <v>0.91977347805568666</v>
      </c>
      <c r="AJ258" s="82">
        <f>AJ$118/Population!AR$163</f>
        <v>0.92009400705052879</v>
      </c>
      <c r="AK258" s="82">
        <f>AK$118/Population!AS$163</f>
        <v>0.9199527744982291</v>
      </c>
      <c r="AL258" s="82">
        <f>AL$118/Population!AT$163</f>
        <v>0.91994106090373284</v>
      </c>
      <c r="AM258" s="82">
        <f>AM$118/Population!AU$163</f>
        <v>0.92022216611966678</v>
      </c>
      <c r="AN258" s="82">
        <f>AN$118/Population!AV$163</f>
        <v>0.92027097446586759</v>
      </c>
      <c r="AO258" s="82">
        <f>AO$118/Population!AW$163</f>
        <v>0.92032182714767719</v>
      </c>
      <c r="AP258" s="82">
        <f>AP$118/Population!AX$163</f>
        <v>0.92032301480484524</v>
      </c>
      <c r="AQ258" s="82">
        <f>AQ$118/Population!AY$163</f>
        <v>0.92033898305084749</v>
      </c>
      <c r="AR258" s="82">
        <f>AR$118/Population!AZ$163</f>
        <v>0.92014672686230248</v>
      </c>
      <c r="AS258" s="82">
        <f>AS$118/Population!BA$163</f>
        <v>0.92040077929306985</v>
      </c>
      <c r="AT258" s="82">
        <f>AT$118/Population!BB$163</f>
        <v>0.92053721320649129</v>
      </c>
      <c r="AU258" s="82">
        <f>AU$118/Population!BC$163</f>
        <v>0.92063929457150728</v>
      </c>
      <c r="AV258" s="82">
        <f>AV$118/Population!BD$163</f>
        <v>0.92044257112750261</v>
      </c>
      <c r="AW258" s="82">
        <f>AW$118/Population!BE$163</f>
        <v>0.92029539088362622</v>
      </c>
      <c r="AX258" s="82">
        <f>AX$118/Population!BF$163</f>
        <v>0.92032274331820474</v>
      </c>
      <c r="AY258" s="82">
        <f>AY$118/Population!BG$163</f>
        <v>0.92047165077772197</v>
      </c>
      <c r="AZ258" s="82">
        <f>AZ$118/Population!BH$163</f>
        <v>0.92042846212700846</v>
      </c>
      <c r="BA258" s="82">
        <f>BA$118/Population!BI$163</f>
        <v>0.9202992004126902</v>
      </c>
      <c r="BB258" s="82">
        <f>BB$118/Population!BJ$163</f>
        <v>0.92045749935014298</v>
      </c>
      <c r="BC258" s="82">
        <f>BC$118/Population!BK$163</f>
        <v>0.92037037037037039</v>
      </c>
      <c r="BD258" s="82">
        <f>BD$118/Population!BL$163</f>
        <v>0.92048767558971645</v>
      </c>
    </row>
    <row r="259" spans="3:56" x14ac:dyDescent="0.2">
      <c r="C259" s="28">
        <v>54</v>
      </c>
      <c r="E259" s="82">
        <f>E$119/Population!M$164</f>
        <v>0.8948043617703656</v>
      </c>
      <c r="F259" s="82">
        <f>F$119/Population!N$164</f>
        <v>0.89683053040103489</v>
      </c>
      <c r="G259" s="82">
        <f>G$119/Population!O$164</f>
        <v>0.89856523189856519</v>
      </c>
      <c r="H259" s="82">
        <f>H$119/Population!P$164</f>
        <v>0.90003365870077412</v>
      </c>
      <c r="I259" s="82">
        <f>I$119/Population!Q$164</f>
        <v>0.90172822771941719</v>
      </c>
      <c r="J259" s="82">
        <f>J$119/Population!R$164</f>
        <v>0.90333333333333332</v>
      </c>
      <c r="K259" s="82">
        <f>K$119/Population!S$164</f>
        <v>0.90437068682221489</v>
      </c>
      <c r="L259" s="82">
        <f>L$119/Population!T$164</f>
        <v>0.90584737363726464</v>
      </c>
      <c r="M259" s="82">
        <f>M$119/Population!U$164</f>
        <v>0.90706679574056148</v>
      </c>
      <c r="N259" s="82">
        <f>N$119/Population!V$164</f>
        <v>0.90805717998700453</v>
      </c>
      <c r="O259" s="82">
        <f>O$119/Population!W$164</f>
        <v>0.90921318090114323</v>
      </c>
      <c r="P259" s="82">
        <f>P$119/Population!X$164</f>
        <v>0.91003460207612452</v>
      </c>
      <c r="Q259" s="82">
        <f>Q$119/Population!Y$164</f>
        <v>0.91088753144089107</v>
      </c>
      <c r="R259" s="82">
        <f>R$119/Population!Z$164</f>
        <v>0.91166728008833275</v>
      </c>
      <c r="S259" s="82">
        <f>S$119/Population!AA$164</f>
        <v>0.91261061946902655</v>
      </c>
      <c r="T259" s="82">
        <f>T$119/Population!AB$164</f>
        <v>0.91350131628431741</v>
      </c>
      <c r="U259" s="82">
        <f>U$119/Population!AC$164</f>
        <v>0.91398243045387995</v>
      </c>
      <c r="V259" s="82">
        <f>V$119/Population!AD$164</f>
        <v>0.91487068965517238</v>
      </c>
      <c r="W259" s="82">
        <f>W$119/Population!AE$164</f>
        <v>0.91512399580859238</v>
      </c>
      <c r="X259" s="82">
        <f>X$119/Population!AF$164</f>
        <v>0.91571675302245248</v>
      </c>
      <c r="Y259" s="82">
        <f>Y$119/Population!AG$164</f>
        <v>0.91597475921620719</v>
      </c>
      <c r="Z259" s="82">
        <f>Z$119/Population!AH$164</f>
        <v>0.91644908616187992</v>
      </c>
      <c r="AA259" s="82">
        <f>AA$119/Population!AI$164</f>
        <v>0.91688061617458283</v>
      </c>
      <c r="AB259" s="82">
        <f>AB$119/Population!AJ$164</f>
        <v>0.91730710113741165</v>
      </c>
      <c r="AC259" s="82">
        <f>AC$119/Population!AK$164</f>
        <v>0.9175469483568075</v>
      </c>
      <c r="AD259" s="82">
        <f>AD$119/Population!AL$164</f>
        <v>0.91773922775601569</v>
      </c>
      <c r="AE259" s="82">
        <f>AE$119/Population!AM$164</f>
        <v>0.91811938721605912</v>
      </c>
      <c r="AF259" s="82">
        <f>AF$119/Population!AN$164</f>
        <v>0.9183876586215477</v>
      </c>
      <c r="AG259" s="82">
        <f>AG$119/Population!AO$164</f>
        <v>0.91856060606060608</v>
      </c>
      <c r="AH259" s="82">
        <f>AH$119/Population!AP$164</f>
        <v>0.91862652869238004</v>
      </c>
      <c r="AI259" s="82">
        <f>AI$119/Population!AQ$164</f>
        <v>0.918704868390403</v>
      </c>
      <c r="AJ259" s="82">
        <f>AJ$119/Population!AR$164</f>
        <v>0.91895085066162574</v>
      </c>
      <c r="AK259" s="82">
        <f>AK$119/Population!AS$164</f>
        <v>0.91882352941176471</v>
      </c>
      <c r="AL259" s="82">
        <f>AL$119/Population!AT$164</f>
        <v>0.91912981792385906</v>
      </c>
      <c r="AM259" s="82">
        <f>AM$119/Population!AU$164</f>
        <v>0.91910499139414803</v>
      </c>
      <c r="AN259" s="82">
        <f>AN$119/Population!AV$164</f>
        <v>0.91936299292214363</v>
      </c>
      <c r="AO259" s="82">
        <f>AO$119/Population!AW$164</f>
        <v>0.91914449660928532</v>
      </c>
      <c r="AP259" s="82">
        <f>AP$119/Population!AX$164</f>
        <v>0.91919979215380621</v>
      </c>
      <c r="AQ259" s="82">
        <f>AQ$119/Population!AY$164</f>
        <v>0.9191592562651576</v>
      </c>
      <c r="AR259" s="82">
        <f>AR$119/Population!AZ$164</f>
        <v>0.91940045248868774</v>
      </c>
      <c r="AS259" s="82">
        <f>AS$119/Population!BA$164</f>
        <v>0.91949152542372881</v>
      </c>
      <c r="AT259" s="82">
        <f>AT$119/Population!BB$164</f>
        <v>0.91947617720813601</v>
      </c>
      <c r="AU259" s="82">
        <f>AU$119/Population!BC$164</f>
        <v>0.91935032203864464</v>
      </c>
      <c r="AV259" s="82">
        <f>AV$119/Population!BD$164</f>
        <v>0.9194704908990623</v>
      </c>
      <c r="AW259" s="82">
        <f>AW$119/Population!BE$164</f>
        <v>0.91956751054852326</v>
      </c>
      <c r="AX259" s="82">
        <f>AX$119/Population!BF$164</f>
        <v>0.91944940096864647</v>
      </c>
      <c r="AY259" s="82">
        <f>AY$119/Population!BG$164</f>
        <v>0.91948510853104493</v>
      </c>
      <c r="AZ259" s="82">
        <f>AZ$119/Population!BH$164</f>
        <v>0.91963837267704673</v>
      </c>
      <c r="BA259" s="82">
        <f>BA$119/Population!BI$164</f>
        <v>0.91934660541092394</v>
      </c>
      <c r="BB259" s="82">
        <f>BB$119/Population!BJ$164</f>
        <v>0.91946308724832215</v>
      </c>
      <c r="BC259" s="82">
        <f>BC$119/Population!BK$164</f>
        <v>0.9196149843912591</v>
      </c>
      <c r="BD259" s="82">
        <f>BD$119/Population!BL$164</f>
        <v>0.91951284087900453</v>
      </c>
    </row>
    <row r="260" spans="3:56" x14ac:dyDescent="0.2">
      <c r="C260" s="28">
        <v>55</v>
      </c>
      <c r="E260" s="82">
        <f>E$120/Population!M$165</f>
        <v>0.89016970861351263</v>
      </c>
      <c r="F260" s="82">
        <f>F$120/Population!N$165</f>
        <v>0.89242132305716115</v>
      </c>
      <c r="G260" s="82">
        <f>G$120/Population!O$165</f>
        <v>0.89410621761658027</v>
      </c>
      <c r="H260" s="82">
        <f>H$120/Population!P$165</f>
        <v>0.89605614973262027</v>
      </c>
      <c r="I260" s="82">
        <f>I$120/Population!Q$165</f>
        <v>0.89777327935222673</v>
      </c>
      <c r="J260" s="82">
        <f>J$120/Population!R$165</f>
        <v>0.89942235813795446</v>
      </c>
      <c r="K260" s="82">
        <f>K$120/Population!S$165</f>
        <v>0.90140374331550799</v>
      </c>
      <c r="L260" s="82">
        <f>L$120/Population!T$165</f>
        <v>0.90247116968698515</v>
      </c>
      <c r="M260" s="82">
        <f>M$120/Population!U$165</f>
        <v>0.90427293805895992</v>
      </c>
      <c r="N260" s="82">
        <f>N$120/Population!V$165</f>
        <v>0.90553219022969911</v>
      </c>
      <c r="O260" s="82">
        <f>O$120/Population!W$165</f>
        <v>0.90651465798045605</v>
      </c>
      <c r="P260" s="82">
        <f>P$120/Population!X$165</f>
        <v>0.90765082574991574</v>
      </c>
      <c r="Q260" s="82">
        <f>Q$120/Population!Y$165</f>
        <v>0.90846047156726772</v>
      </c>
      <c r="R260" s="82">
        <f>R$120/Population!Z$165</f>
        <v>0.90961469211379187</v>
      </c>
      <c r="S260" s="82">
        <f>S$120/Population!AA$165</f>
        <v>0.91036517890077462</v>
      </c>
      <c r="T260" s="82">
        <f>T$120/Population!AB$165</f>
        <v>0.91134096786110086</v>
      </c>
      <c r="U260" s="82">
        <f>U$120/Population!AC$165</f>
        <v>0.91183119819140923</v>
      </c>
      <c r="V260" s="82">
        <f>V$120/Population!AD$165</f>
        <v>0.91272460579391268</v>
      </c>
      <c r="W260" s="82">
        <f>W$120/Population!AE$165</f>
        <v>0.91327815761065134</v>
      </c>
      <c r="X260" s="82">
        <f>X$120/Population!AF$165</f>
        <v>0.91392582225332397</v>
      </c>
      <c r="Y260" s="82">
        <f>Y$120/Population!AG$165</f>
        <v>0.91418685121107268</v>
      </c>
      <c r="Z260" s="82">
        <f>Z$120/Population!AH$165</f>
        <v>0.91483699268130403</v>
      </c>
      <c r="AA260" s="82">
        <f>AA$120/Population!AI$165</f>
        <v>0.91533180778032042</v>
      </c>
      <c r="AB260" s="82">
        <f>AB$120/Population!AJ$165</f>
        <v>0.91578270652523308</v>
      </c>
      <c r="AC260" s="82">
        <f>AC$120/Population!AK$165</f>
        <v>0.91594827586206895</v>
      </c>
      <c r="AD260" s="82">
        <f>AD$120/Population!AL$165</f>
        <v>0.91625036732295029</v>
      </c>
      <c r="AE260" s="82">
        <f>AE$120/Population!AM$165</f>
        <v>0.91678341272065</v>
      </c>
      <c r="AF260" s="82">
        <f>AF$120/Population!AN$165</f>
        <v>0.9166887066913515</v>
      </c>
      <c r="AG260" s="82">
        <f>AG$120/Population!AO$165</f>
        <v>0.9170403587443946</v>
      </c>
      <c r="AH260" s="82">
        <f>AH$120/Population!AP$165</f>
        <v>0.91727897606067788</v>
      </c>
      <c r="AI260" s="82">
        <f>AI$120/Population!AQ$165</f>
        <v>0.91733396137541212</v>
      </c>
      <c r="AJ260" s="82">
        <f>AJ$120/Population!AR$165</f>
        <v>0.91744402985074625</v>
      </c>
      <c r="AK260" s="82">
        <f>AK$120/Population!AS$165</f>
        <v>0.91767210787792763</v>
      </c>
      <c r="AL260" s="82">
        <f>AL$120/Population!AT$165</f>
        <v>0.91778563015312131</v>
      </c>
      <c r="AM260" s="82">
        <f>AM$120/Population!AU$165</f>
        <v>0.91808712121212122</v>
      </c>
      <c r="AN260" s="82">
        <f>AN$120/Population!AV$165</f>
        <v>0.91802067946824228</v>
      </c>
      <c r="AO260" s="82">
        <f>AO$120/Population!AW$165</f>
        <v>0.91801619433198378</v>
      </c>
      <c r="AP260" s="82">
        <f>AP$120/Population!AX$165</f>
        <v>0.91801566579634464</v>
      </c>
      <c r="AQ260" s="82">
        <f>AQ$120/Population!AY$165</f>
        <v>0.91807542262678798</v>
      </c>
      <c r="AR260" s="82">
        <f>AR$120/Population!AZ$165</f>
        <v>0.91826274615592118</v>
      </c>
      <c r="AS260" s="82">
        <f>AS$120/Population!BA$165</f>
        <v>0.91819983017265783</v>
      </c>
      <c r="AT260" s="82">
        <f>AT$120/Population!BB$165</f>
        <v>0.91829233813966638</v>
      </c>
      <c r="AU260" s="82">
        <f>AU$120/Population!BC$165</f>
        <v>0.91829336307863918</v>
      </c>
      <c r="AV260" s="82">
        <f>AV$120/Population!BD$165</f>
        <v>0.91816143497757852</v>
      </c>
      <c r="AW260" s="82">
        <f>AW$120/Population!BE$165</f>
        <v>0.91829975158708255</v>
      </c>
      <c r="AX260" s="82">
        <f>AX$120/Population!BF$165</f>
        <v>0.91820580474934033</v>
      </c>
      <c r="AY260" s="82">
        <f>AY$120/Population!BG$165</f>
        <v>0.91836734693877553</v>
      </c>
      <c r="AZ260" s="82">
        <f>AZ$120/Population!BH$165</f>
        <v>0.91841374084364735</v>
      </c>
      <c r="BA260" s="82">
        <f>BA$120/Population!BI$165</f>
        <v>0.91809045226130648</v>
      </c>
      <c r="BB260" s="82">
        <f>BB$120/Population!BJ$165</f>
        <v>0.91802860061287028</v>
      </c>
      <c r="BC260" s="82">
        <f>BC$120/Population!BK$165</f>
        <v>0.91836734693877553</v>
      </c>
      <c r="BD260" s="82">
        <f>BD$120/Population!BL$165</f>
        <v>0.91827173347214996</v>
      </c>
    </row>
    <row r="261" spans="3:56" x14ac:dyDescent="0.2">
      <c r="C261" s="28">
        <v>56</v>
      </c>
      <c r="E261" s="82">
        <f>E$121/Population!M$166</f>
        <v>0.88384336952945053</v>
      </c>
      <c r="F261" s="82">
        <f>F$121/Population!N$166</f>
        <v>0.88618146841936518</v>
      </c>
      <c r="G261" s="82">
        <f>G$121/Population!O$166</f>
        <v>0.88871019620456737</v>
      </c>
      <c r="H261" s="82">
        <f>H$121/Population!P$166</f>
        <v>0.89033095392602202</v>
      </c>
      <c r="I261" s="82">
        <f>I$121/Population!Q$166</f>
        <v>0.89246231155778899</v>
      </c>
      <c r="J261" s="82">
        <f>J$121/Population!R$166</f>
        <v>0.89445196211096079</v>
      </c>
      <c r="K261" s="82">
        <f>K$121/Population!S$166</f>
        <v>0.89608177172061332</v>
      </c>
      <c r="L261" s="82">
        <f>L$121/Population!T$166</f>
        <v>0.89782244556113899</v>
      </c>
      <c r="M261" s="82">
        <f>M$121/Population!U$166</f>
        <v>0.89957053187974889</v>
      </c>
      <c r="N261" s="82">
        <f>N$121/Population!V$166</f>
        <v>0.90106241699867196</v>
      </c>
      <c r="O261" s="82">
        <f>O$121/Population!W$166</f>
        <v>0.90207522697795073</v>
      </c>
      <c r="P261" s="82">
        <f>P$121/Population!X$166</f>
        <v>0.90339425587467359</v>
      </c>
      <c r="Q261" s="82">
        <f>Q$121/Population!Y$166</f>
        <v>0.90442418101992572</v>
      </c>
      <c r="R261" s="82">
        <f>R$121/Population!Z$166</f>
        <v>0.90548992355802638</v>
      </c>
      <c r="S261" s="82">
        <f>S$121/Population!AA$166</f>
        <v>0.90656565656565657</v>
      </c>
      <c r="T261" s="82">
        <f>T$121/Population!AB$166</f>
        <v>0.90761271249076125</v>
      </c>
      <c r="U261" s="82">
        <f>U$121/Population!AC$166</f>
        <v>0.90821613619541086</v>
      </c>
      <c r="V261" s="82">
        <f>V$121/Population!AD$166</f>
        <v>0.90905660377358488</v>
      </c>
      <c r="W261" s="82">
        <f>W$121/Population!AE$166</f>
        <v>0.90965846492838776</v>
      </c>
      <c r="X261" s="82">
        <f>X$121/Population!AF$166</f>
        <v>0.9102702702702703</v>
      </c>
      <c r="Y261" s="82">
        <f>Y$121/Population!AG$166</f>
        <v>0.91100210231254375</v>
      </c>
      <c r="Z261" s="82">
        <f>Z$121/Population!AH$166</f>
        <v>0.91129591129591125</v>
      </c>
      <c r="AA261" s="82">
        <f>AA$121/Population!AI$166</f>
        <v>0.91202932355881372</v>
      </c>
      <c r="AB261" s="82">
        <f>AB$121/Population!AJ$166</f>
        <v>0.91227495908346967</v>
      </c>
      <c r="AC261" s="82">
        <f>AC$121/Population!AK$166</f>
        <v>0.91277759897006761</v>
      </c>
      <c r="AD261" s="82">
        <f>AD$121/Population!AL$166</f>
        <v>0.91307028360049325</v>
      </c>
      <c r="AE261" s="82">
        <f>AE$121/Population!AM$166</f>
        <v>0.91350397175639897</v>
      </c>
      <c r="AF261" s="82">
        <f>AF$121/Population!AN$166</f>
        <v>0.91360448807854133</v>
      </c>
      <c r="AG261" s="82">
        <f>AG$121/Population!AO$166</f>
        <v>0.91393008474576276</v>
      </c>
      <c r="AH261" s="82">
        <f>AH$121/Population!AP$166</f>
        <v>0.91419306560239466</v>
      </c>
      <c r="AI261" s="82">
        <f>AI$121/Population!AQ$166</f>
        <v>0.91455020175646806</v>
      </c>
      <c r="AJ261" s="82">
        <f>AJ$121/Population!AR$166</f>
        <v>0.91464277293091256</v>
      </c>
      <c r="AK261" s="82">
        <f>AK$121/Population!AS$166</f>
        <v>0.9145458790567359</v>
      </c>
      <c r="AL261" s="82">
        <f>AL$121/Population!AT$166</f>
        <v>0.91473235433443867</v>
      </c>
      <c r="AM261" s="82">
        <f>AM$121/Population!AU$166</f>
        <v>0.91485849056603774</v>
      </c>
      <c r="AN261" s="82">
        <f>AN$121/Population!AV$166</f>
        <v>0.91516587677725114</v>
      </c>
      <c r="AO261" s="82">
        <f>AO$121/Population!AW$166</f>
        <v>0.91522917693445049</v>
      </c>
      <c r="AP261" s="82">
        <f>AP$121/Population!AX$166</f>
        <v>0.91516839706254749</v>
      </c>
      <c r="AQ261" s="82">
        <f>AQ$121/Population!AY$166</f>
        <v>0.91507708387771103</v>
      </c>
      <c r="AR261" s="82">
        <f>AR$121/Population!AZ$166</f>
        <v>0.91514836022904733</v>
      </c>
      <c r="AS261" s="82">
        <f>AS$121/Population!BA$166</f>
        <v>0.91524966261808371</v>
      </c>
      <c r="AT261" s="82">
        <f>AT$121/Population!BB$166</f>
        <v>0.91532143868592464</v>
      </c>
      <c r="AU261" s="82">
        <f>AU$121/Population!BC$166</f>
        <v>0.91513437057991509</v>
      </c>
      <c r="AV261" s="82">
        <f>AV$121/Population!BD$166</f>
        <v>0.9154575892857143</v>
      </c>
      <c r="AW261" s="82">
        <f>AW$121/Population!BE$166</f>
        <v>0.91531127313516547</v>
      </c>
      <c r="AX261" s="82">
        <f>AX$121/Population!BF$166</f>
        <v>0.91549295774647887</v>
      </c>
      <c r="AY261" s="82">
        <f>AY$121/Population!BG$166</f>
        <v>0.91525871172122497</v>
      </c>
      <c r="AZ261" s="82">
        <f>AZ$121/Population!BH$166</f>
        <v>0.91551812149055645</v>
      </c>
      <c r="BA261" s="82">
        <f>BA$121/Population!BI$166</f>
        <v>0.9151086407276402</v>
      </c>
      <c r="BB261" s="82">
        <f>BB$121/Population!BJ$166</f>
        <v>0.91528406234288584</v>
      </c>
      <c r="BC261" s="82">
        <f>BC$121/Population!BK$166</f>
        <v>0.91517629024016356</v>
      </c>
      <c r="BD261" s="82">
        <f>BD$121/Population!BL$166</f>
        <v>0.91524547803617573</v>
      </c>
    </row>
    <row r="262" spans="3:56" x14ac:dyDescent="0.2">
      <c r="C262" s="28">
        <v>57</v>
      </c>
      <c r="E262" s="82">
        <f>E$122/Population!M$167</f>
        <v>0.87568119891008178</v>
      </c>
      <c r="F262" s="82">
        <f>F$122/Population!N$167</f>
        <v>0.87808896210873144</v>
      </c>
      <c r="G262" s="82">
        <f>G$122/Population!O$167</f>
        <v>0.88053949903660889</v>
      </c>
      <c r="H262" s="82">
        <f>H$122/Population!P$167</f>
        <v>0.88269416693522396</v>
      </c>
      <c r="I262" s="82">
        <f>I$122/Population!Q$167</f>
        <v>0.88484059856864017</v>
      </c>
      <c r="J262" s="82">
        <f>J$122/Population!R$167</f>
        <v>0.88679879072892176</v>
      </c>
      <c r="K262" s="82">
        <f>K$122/Population!S$167</f>
        <v>0.88873812754409764</v>
      </c>
      <c r="L262" s="82">
        <f>L$122/Population!T$167</f>
        <v>0.89036885245901642</v>
      </c>
      <c r="M262" s="82">
        <f>M$122/Population!U$167</f>
        <v>0.89187374076561454</v>
      </c>
      <c r="N262" s="82">
        <f>N$122/Population!V$167</f>
        <v>0.89370860927152318</v>
      </c>
      <c r="O262" s="82">
        <f>O$122/Population!W$167</f>
        <v>0.8948769128409847</v>
      </c>
      <c r="P262" s="82">
        <f>P$122/Population!X$167</f>
        <v>0.89636127355425599</v>
      </c>
      <c r="Q262" s="82">
        <f>Q$122/Population!Y$167</f>
        <v>0.89761203794569844</v>
      </c>
      <c r="R262" s="82">
        <f>R$122/Population!Z$167</f>
        <v>0.89881556683587138</v>
      </c>
      <c r="S262" s="82">
        <f>S$122/Population!AA$167</f>
        <v>0.89975635224504003</v>
      </c>
      <c r="T262" s="82">
        <f>T$122/Population!AB$167</f>
        <v>0.90061438380917958</v>
      </c>
      <c r="U262" s="82">
        <f>U$122/Population!AC$167</f>
        <v>0.9015544041450777</v>
      </c>
      <c r="V262" s="82">
        <f>V$122/Population!AD$167</f>
        <v>0.902520385470719</v>
      </c>
      <c r="W262" s="82">
        <f>W$122/Population!AE$167</f>
        <v>0.90325018896447473</v>
      </c>
      <c r="X262" s="82">
        <f>X$122/Population!AF$167</f>
        <v>0.90400882677454941</v>
      </c>
      <c r="Y262" s="82">
        <f>Y$122/Population!AG$167</f>
        <v>0.90472753518585347</v>
      </c>
      <c r="Z262" s="82">
        <f>Z$122/Population!AH$167</f>
        <v>0.90494563311118903</v>
      </c>
      <c r="AA262" s="82">
        <f>AA$122/Population!AI$167</f>
        <v>0.90562109646079114</v>
      </c>
      <c r="AB262" s="82">
        <f>AB$122/Population!AJ$167</f>
        <v>0.9059372915276851</v>
      </c>
      <c r="AC262" s="82">
        <f>AC$122/Population!AK$167</f>
        <v>0.90658800393313665</v>
      </c>
      <c r="AD262" s="82">
        <f>AD$122/Population!AL$167</f>
        <v>0.90657216494845361</v>
      </c>
      <c r="AE262" s="82">
        <f>AE$122/Population!AM$167</f>
        <v>0.90740740740740744</v>
      </c>
      <c r="AF262" s="82">
        <f>AF$122/Population!AN$167</f>
        <v>0.90751104565537555</v>
      </c>
      <c r="AG262" s="82">
        <f>AG$122/Population!AO$167</f>
        <v>0.90761022184779561</v>
      </c>
      <c r="AH262" s="82">
        <f>AH$122/Population!AP$167</f>
        <v>0.90800636267232238</v>
      </c>
      <c r="AI262" s="82">
        <f>AI$122/Population!AQ$167</f>
        <v>0.90811485642946321</v>
      </c>
      <c r="AJ262" s="82">
        <f>AJ$122/Population!AR$167</f>
        <v>0.90829175576146348</v>
      </c>
      <c r="AK262" s="82">
        <f>AK$122/Population!AS$167</f>
        <v>0.90842577295256077</v>
      </c>
      <c r="AL262" s="82">
        <f>AL$122/Population!AT$167</f>
        <v>0.90862351016592657</v>
      </c>
      <c r="AM262" s="82">
        <f>AM$122/Population!AU$167</f>
        <v>0.90872451398767184</v>
      </c>
      <c r="AN262" s="82">
        <f>AN$122/Population!AV$167</f>
        <v>0.90866178900165206</v>
      </c>
      <c r="AO262" s="82">
        <f>AO$122/Population!AW$167</f>
        <v>0.90894000474270809</v>
      </c>
      <c r="AP262" s="82">
        <f>AP$122/Population!AX$167</f>
        <v>0.90900123304562264</v>
      </c>
      <c r="AQ262" s="82">
        <f>AQ$122/Population!AY$167</f>
        <v>0.90902179422199691</v>
      </c>
      <c r="AR262" s="82">
        <f>AR$122/Population!AZ$167</f>
        <v>0.90925732217573219</v>
      </c>
      <c r="AS262" s="82">
        <f>AS$122/Population!BA$167</f>
        <v>0.90911458333333328</v>
      </c>
      <c r="AT262" s="82">
        <f>AT$122/Population!BB$167</f>
        <v>0.90899270861463677</v>
      </c>
      <c r="AU262" s="82">
        <f>AU$122/Population!BC$167</f>
        <v>0.90932275432133747</v>
      </c>
      <c r="AV262" s="82">
        <f>AV$122/Population!BD$167</f>
        <v>0.90914237192187941</v>
      </c>
      <c r="AW262" s="82">
        <f>AW$122/Population!BE$167</f>
        <v>0.9090147920736813</v>
      </c>
      <c r="AX262" s="82">
        <f>AX$122/Population!BF$167</f>
        <v>0.90911640953716688</v>
      </c>
      <c r="AY262" s="82">
        <f>AY$122/Population!BG$167</f>
        <v>0.90911602209944753</v>
      </c>
      <c r="AZ262" s="82">
        <f>AZ$122/Population!BH$167</f>
        <v>0.90940306391970416</v>
      </c>
      <c r="BA262" s="82">
        <f>BA$122/Population!BI$167</f>
        <v>0.90911411794740871</v>
      </c>
      <c r="BB262" s="82">
        <f>BB$122/Population!BJ$167</f>
        <v>0.90925176946410513</v>
      </c>
      <c r="BC262" s="82">
        <f>BC$122/Population!BK$167</f>
        <v>0.90922806135277845</v>
      </c>
      <c r="BD262" s="82">
        <f>BD$122/Population!BL$167</f>
        <v>0.90927676974188598</v>
      </c>
    </row>
    <row r="263" spans="3:56" x14ac:dyDescent="0.2">
      <c r="C263" s="28">
        <v>58</v>
      </c>
      <c r="E263" s="82">
        <f>E$123/Population!M$168</f>
        <v>0.86888657648283041</v>
      </c>
      <c r="F263" s="82">
        <f>F$123/Population!N$168</f>
        <v>0.87150647580095431</v>
      </c>
      <c r="G263" s="82">
        <f>G$123/Population!O$168</f>
        <v>0.87429891125041237</v>
      </c>
      <c r="H263" s="82">
        <f>H$123/Population!P$168</f>
        <v>0.87676962676962678</v>
      </c>
      <c r="I263" s="82">
        <f>I$123/Population!Q$168</f>
        <v>0.87919896640826878</v>
      </c>
      <c r="J263" s="82">
        <f>J$123/Population!R$168</f>
        <v>0.88099119660906422</v>
      </c>
      <c r="K263" s="82">
        <f>K$123/Population!S$168</f>
        <v>0.88316498316498315</v>
      </c>
      <c r="L263" s="82">
        <f>L$123/Population!T$168</f>
        <v>0.88511216859279407</v>
      </c>
      <c r="M263" s="82">
        <f>M$123/Population!U$168</f>
        <v>0.88706365503080087</v>
      </c>
      <c r="N263" s="82">
        <f>N$123/Population!V$168</f>
        <v>0.88892628744530466</v>
      </c>
      <c r="O263" s="82">
        <f>O$123/Population!W$168</f>
        <v>0.89051094890510951</v>
      </c>
      <c r="P263" s="82">
        <f>P$123/Population!X$168</f>
        <v>0.89166666666666672</v>
      </c>
      <c r="Q263" s="82">
        <f>Q$123/Population!Y$168</f>
        <v>0.89322916666666663</v>
      </c>
      <c r="R263" s="82">
        <f>R$123/Population!Z$168</f>
        <v>0.89449541284403666</v>
      </c>
      <c r="S263" s="82">
        <f>S$123/Population!AA$168</f>
        <v>0.89528973229413755</v>
      </c>
      <c r="T263" s="82">
        <f>T$123/Population!AB$168</f>
        <v>0.89647960962007667</v>
      </c>
      <c r="U263" s="82">
        <f>U$123/Population!AC$168</f>
        <v>0.89793702497285555</v>
      </c>
      <c r="V263" s="82">
        <f>V$123/Population!AD$168</f>
        <v>0.89848091885883663</v>
      </c>
      <c r="W263" s="82">
        <f>W$123/Population!AE$168</f>
        <v>0.89944341372912806</v>
      </c>
      <c r="X263" s="82">
        <f>X$123/Population!AF$168</f>
        <v>0.90011350737797957</v>
      </c>
      <c r="Y263" s="82">
        <f>Y$123/Population!AG$168</f>
        <v>0.90062569009937432</v>
      </c>
      <c r="Z263" s="82">
        <f>Z$123/Population!AH$168</f>
        <v>0.90140845070422537</v>
      </c>
      <c r="AA263" s="82">
        <f>AA$123/Population!AI$168</f>
        <v>0.9020365168539326</v>
      </c>
      <c r="AB263" s="82">
        <f>AB$123/Population!AJ$168</f>
        <v>0.90243055555555551</v>
      </c>
      <c r="AC263" s="82">
        <f>AC$123/Population!AK$168</f>
        <v>0.90317195325542576</v>
      </c>
      <c r="AD263" s="82">
        <f>AD$123/Population!AL$168</f>
        <v>0.90324696621843226</v>
      </c>
      <c r="AE263" s="82">
        <f>AE$123/Population!AM$168</f>
        <v>0.90390196710738469</v>
      </c>
      <c r="AF263" s="82">
        <f>AF$123/Population!AN$168</f>
        <v>0.90395305744286591</v>
      </c>
      <c r="AG263" s="82">
        <f>AG$123/Population!AO$168</f>
        <v>0.90448113207547165</v>
      </c>
      <c r="AH263" s="82">
        <f>AH$123/Population!AP$168</f>
        <v>0.90472175379426645</v>
      </c>
      <c r="AI263" s="82">
        <f>AI$123/Population!AQ$168</f>
        <v>0.90474927036349162</v>
      </c>
      <c r="AJ263" s="82">
        <f>AJ$123/Population!AR$168</f>
        <v>0.905023744063984</v>
      </c>
      <c r="AK263" s="82">
        <f>AK$123/Population!AS$168</f>
        <v>0.90513552068473613</v>
      </c>
      <c r="AL263" s="82">
        <f>AL$123/Population!AT$168</f>
        <v>0.90529050543221545</v>
      </c>
      <c r="AM263" s="82">
        <f>AM$123/Population!AU$168</f>
        <v>0.90528531337698781</v>
      </c>
      <c r="AN263" s="82">
        <f>AN$123/Population!AV$168</f>
        <v>0.90536053130929794</v>
      </c>
      <c r="AO263" s="82">
        <f>AO$123/Population!AW$168</f>
        <v>0.90552668871043929</v>
      </c>
      <c r="AP263" s="82">
        <f>AP$123/Population!AX$168</f>
        <v>0.90557532621589565</v>
      </c>
      <c r="AQ263" s="82">
        <f>AQ$123/Population!AY$168</f>
        <v>0.90552540700542672</v>
      </c>
      <c r="AR263" s="82">
        <f>AR$123/Population!AZ$168</f>
        <v>0.90570342205323195</v>
      </c>
      <c r="AS263" s="82">
        <f>AS$123/Population!BA$168</f>
        <v>0.90583311535443367</v>
      </c>
      <c r="AT263" s="82">
        <f>AT$123/Population!BB$168</f>
        <v>0.90570461057567075</v>
      </c>
      <c r="AU263" s="82">
        <f>AU$123/Population!BC$168</f>
        <v>0.90599675850891415</v>
      </c>
      <c r="AV263" s="82">
        <f>AV$123/Population!BD$168</f>
        <v>0.90592235760838768</v>
      </c>
      <c r="AW263" s="82">
        <f>AW$123/Population!BE$168</f>
        <v>0.90602887064817439</v>
      </c>
      <c r="AX263" s="82">
        <f>AX$123/Population!BF$168</f>
        <v>0.90594473904549255</v>
      </c>
      <c r="AY263" s="82">
        <f>AY$123/Population!BG$168</f>
        <v>0.90603085553997198</v>
      </c>
      <c r="AZ263" s="82">
        <f>AZ$123/Population!BH$168</f>
        <v>0.90607734806629836</v>
      </c>
      <c r="BA263" s="82">
        <f>BA$123/Population!BI$168</f>
        <v>0.90573012939001851</v>
      </c>
      <c r="BB263" s="82">
        <f>BB$123/Population!BJ$168</f>
        <v>0.90605054888945624</v>
      </c>
      <c r="BC263" s="82">
        <f>BC$123/Population!BK$168</f>
        <v>0.90573666919383367</v>
      </c>
      <c r="BD263" s="82">
        <f>BD$123/Population!BL$168</f>
        <v>0.90595926577822483</v>
      </c>
    </row>
    <row r="264" spans="3:56" x14ac:dyDescent="0.2">
      <c r="C264" s="28">
        <v>59</v>
      </c>
      <c r="E264" s="82">
        <f>E$124/Population!M$169</f>
        <v>0.8626876601977298</v>
      </c>
      <c r="F264" s="82">
        <f>F$124/Population!N$169</f>
        <v>0.86601874349184316</v>
      </c>
      <c r="G264" s="82">
        <f>G$124/Population!O$169</f>
        <v>0.86894197952218433</v>
      </c>
      <c r="H264" s="82">
        <f>H$124/Population!P$169</f>
        <v>0.8717779246530073</v>
      </c>
      <c r="I264" s="82">
        <f>I$124/Population!Q$169</f>
        <v>0.87427466150870403</v>
      </c>
      <c r="J264" s="82">
        <f>J$124/Population!R$169</f>
        <v>0.87665911298154742</v>
      </c>
      <c r="K264" s="82">
        <f>K$124/Population!S$169</f>
        <v>0.87908496732026142</v>
      </c>
      <c r="L264" s="82">
        <f>L$124/Population!T$169</f>
        <v>0.88153898076274051</v>
      </c>
      <c r="M264" s="82">
        <f>M$124/Population!U$169</f>
        <v>0.88351498637602177</v>
      </c>
      <c r="N264" s="82">
        <f>N$124/Population!V$169</f>
        <v>0.8854595336076817</v>
      </c>
      <c r="O264" s="82">
        <f>O$124/Population!W$169</f>
        <v>0.88705327039784221</v>
      </c>
      <c r="P264" s="82">
        <f>P$124/Population!X$169</f>
        <v>0.88899966766367566</v>
      </c>
      <c r="Q264" s="82">
        <f>Q$124/Population!Y$169</f>
        <v>0.89048414023372291</v>
      </c>
      <c r="R264" s="82">
        <f>R$124/Population!Z$169</f>
        <v>0.8917508966416694</v>
      </c>
      <c r="S264" s="82">
        <f>S$124/Population!AA$169</f>
        <v>0.89304461942257218</v>
      </c>
      <c r="T264" s="82">
        <f>T$124/Population!AB$169</f>
        <v>0.89412962334577539</v>
      </c>
      <c r="U264" s="82">
        <f>U$124/Population!AC$169</f>
        <v>0.89532449406838799</v>
      </c>
      <c r="V264" s="82">
        <f>V$124/Population!AD$169</f>
        <v>0.89641434262948205</v>
      </c>
      <c r="W264" s="82">
        <f>W$124/Population!AE$169</f>
        <v>0.89729328883945125</v>
      </c>
      <c r="X264" s="82">
        <f>X$124/Population!AF$169</f>
        <v>0.89825473449684368</v>
      </c>
      <c r="Y264" s="82">
        <f>Y$124/Population!AG$169</f>
        <v>0.89894019682059045</v>
      </c>
      <c r="Z264" s="82">
        <f>Z$124/Population!AH$169</f>
        <v>0.89981583793738484</v>
      </c>
      <c r="AA264" s="82">
        <f>AA$124/Population!AI$169</f>
        <v>0.90025298156848577</v>
      </c>
      <c r="AB264" s="82">
        <f>AB$124/Population!AJ$169</f>
        <v>0.90059711977520196</v>
      </c>
      <c r="AC264" s="82">
        <f>AC$124/Population!AK$169</f>
        <v>0.90166782487838781</v>
      </c>
      <c r="AD264" s="82">
        <f>AD$124/Population!AL$169</f>
        <v>0.90180360721442887</v>
      </c>
      <c r="AE264" s="82">
        <f>AE$124/Population!AM$169</f>
        <v>0.90219888414834259</v>
      </c>
      <c r="AF264" s="82">
        <f>AF$124/Population!AN$169</f>
        <v>0.90258064516129033</v>
      </c>
      <c r="AG264" s="82">
        <f>AG$124/Population!AO$169</f>
        <v>0.90296662546353523</v>
      </c>
      <c r="AH264" s="82">
        <f>AH$124/Population!AP$169</f>
        <v>0.903273370687113</v>
      </c>
      <c r="AI264" s="82">
        <f>AI$124/Population!AQ$169</f>
        <v>0.90328928872645486</v>
      </c>
      <c r="AJ264" s="82">
        <f>AJ$124/Population!AR$169</f>
        <v>0.90390230953013007</v>
      </c>
      <c r="AK264" s="82">
        <f>AK$124/Population!AS$169</f>
        <v>0.90397599399849959</v>
      </c>
      <c r="AL264" s="82">
        <f>AL$124/Population!AT$169</f>
        <v>0.90390104662226456</v>
      </c>
      <c r="AM264" s="82">
        <f>AM$124/Population!AU$169</f>
        <v>0.90406427221172025</v>
      </c>
      <c r="AN264" s="82">
        <f>AN$124/Population!AV$169</f>
        <v>0.90430510060832947</v>
      </c>
      <c r="AO264" s="82">
        <f>AO$124/Population!AW$169</f>
        <v>0.90436639772187943</v>
      </c>
      <c r="AP264" s="82">
        <f>AP$124/Population!AX$169</f>
        <v>0.90432317505315374</v>
      </c>
      <c r="AQ264" s="82">
        <f>AQ$124/Population!AY$169</f>
        <v>0.90458105862805605</v>
      </c>
      <c r="AR264" s="82">
        <f>AR$124/Population!AZ$169</f>
        <v>0.90451517394522574</v>
      </c>
      <c r="AS264" s="82">
        <f>AS$124/Population!BA$169</f>
        <v>0.90466531440162268</v>
      </c>
      <c r="AT264" s="82">
        <f>AT$124/Population!BB$169</f>
        <v>0.90478681663614957</v>
      </c>
      <c r="AU264" s="82">
        <f>AU$124/Population!BC$169</f>
        <v>0.90466267257098198</v>
      </c>
      <c r="AV264" s="82">
        <f>AV$124/Population!BD$169</f>
        <v>0.90467188765865514</v>
      </c>
      <c r="AW264" s="82">
        <f>AW$124/Population!BE$169</f>
        <v>0.9048158640226629</v>
      </c>
      <c r="AX264" s="82">
        <f>AX$124/Population!BF$169</f>
        <v>0.90464063384267124</v>
      </c>
      <c r="AY264" s="82">
        <f>AY$124/Population!BG$169</f>
        <v>0.9045758928571429</v>
      </c>
      <c r="AZ264" s="82">
        <f>AZ$124/Population!BH$169</f>
        <v>0.90465507571508696</v>
      </c>
      <c r="BA264" s="82">
        <f>BA$124/Population!BI$169</f>
        <v>0.90474875759249029</v>
      </c>
      <c r="BB264" s="82">
        <f>BB$124/Population!BJ$169</f>
        <v>0.90469904963041181</v>
      </c>
      <c r="BC264" s="82">
        <f>BC$124/Population!BK$169</f>
        <v>0.90456749170706818</v>
      </c>
      <c r="BD264" s="82">
        <f>BD$124/Population!BL$169</f>
        <v>0.90474987367357251</v>
      </c>
    </row>
    <row r="265" spans="3:56" x14ac:dyDescent="0.2">
      <c r="C265" s="28">
        <v>60</v>
      </c>
      <c r="E265" s="82">
        <f>E$125/Population!M$170</f>
        <v>0.84829607914987171</v>
      </c>
      <c r="F265" s="82">
        <f>F$125/Population!N$170</f>
        <v>0.85164835164835162</v>
      </c>
      <c r="G265" s="82">
        <f>G$125/Population!O$170</f>
        <v>0.85510771369006255</v>
      </c>
      <c r="H265" s="82">
        <f>H$125/Population!P$170</f>
        <v>0.8581681476418318</v>
      </c>
      <c r="I265" s="82">
        <f>I$125/Population!Q$170</f>
        <v>0.86092715231788075</v>
      </c>
      <c r="J265" s="82">
        <f>J$125/Population!R$170</f>
        <v>0.86360698125404012</v>
      </c>
      <c r="K265" s="82">
        <f>K$125/Population!S$170</f>
        <v>0.86599610642439973</v>
      </c>
      <c r="L265" s="82">
        <f>L$125/Population!T$170</f>
        <v>0.86865378316410091</v>
      </c>
      <c r="M265" s="82">
        <f>M$125/Population!U$170</f>
        <v>0.87052062204192027</v>
      </c>
      <c r="N265" s="82">
        <f>N$125/Population!V$170</f>
        <v>0.87273967929034457</v>
      </c>
      <c r="O265" s="82">
        <f>O$125/Population!W$170</f>
        <v>0.87495705942974922</v>
      </c>
      <c r="P265" s="82">
        <f>P$125/Population!X$170</f>
        <v>0.87643484132343008</v>
      </c>
      <c r="Q265" s="82">
        <f>Q$125/Population!Y$170</f>
        <v>0.87820299500831944</v>
      </c>
      <c r="R265" s="82">
        <f>R$125/Population!Z$170</f>
        <v>0.87963891675025074</v>
      </c>
      <c r="S265" s="82">
        <f>S$125/Population!AA$170</f>
        <v>0.88116225922298397</v>
      </c>
      <c r="T265" s="82">
        <f>T$125/Population!AB$170</f>
        <v>0.8823915900131406</v>
      </c>
      <c r="U265" s="82">
        <f>U$125/Population!AC$170</f>
        <v>0.88349184782608692</v>
      </c>
      <c r="V265" s="82">
        <f>V$125/Population!AD$170</f>
        <v>0.88473629060426129</v>
      </c>
      <c r="W265" s="82">
        <f>W$125/Population!AE$170</f>
        <v>0.88582819862268936</v>
      </c>
      <c r="X265" s="82">
        <f>X$125/Population!AF$170</f>
        <v>0.88682745825602971</v>
      </c>
      <c r="Y265" s="82">
        <f>Y$125/Population!AG$170</f>
        <v>0.88744427934621095</v>
      </c>
      <c r="Z265" s="82">
        <f>Z$125/Population!AH$170</f>
        <v>0.88829988640666413</v>
      </c>
      <c r="AA265" s="82">
        <f>AA$125/Population!AI$170</f>
        <v>0.88876611418047879</v>
      </c>
      <c r="AB265" s="82">
        <f>AB$125/Population!AJ$170</f>
        <v>0.88941091434766895</v>
      </c>
      <c r="AC265" s="82">
        <f>AC$125/Population!AK$170</f>
        <v>0.89002108222066056</v>
      </c>
      <c r="AD265" s="82">
        <f>AD$125/Population!AL$170</f>
        <v>0.89054899235580265</v>
      </c>
      <c r="AE265" s="82">
        <f>AE$125/Population!AM$170</f>
        <v>0.89107918476445036</v>
      </c>
      <c r="AF265" s="82">
        <f>AF$125/Population!AN$170</f>
        <v>0.89136855923859537</v>
      </c>
      <c r="AG265" s="82">
        <f>AG$125/Population!AO$170</f>
        <v>0.89161290322580644</v>
      </c>
      <c r="AH265" s="82">
        <f>AH$125/Population!AP$170</f>
        <v>0.89215080346106301</v>
      </c>
      <c r="AI265" s="82">
        <f>AI$125/Population!AQ$170</f>
        <v>0.8926253687315634</v>
      </c>
      <c r="AJ265" s="82">
        <f>AJ$125/Population!AR$170</f>
        <v>0.89257592800899888</v>
      </c>
      <c r="AK265" s="82">
        <f>AK$125/Population!AS$170</f>
        <v>0.8929899097185342</v>
      </c>
      <c r="AL265" s="82">
        <f>AL$125/Population!AT$170</f>
        <v>0.89294647323661835</v>
      </c>
      <c r="AM265" s="82">
        <f>AM$125/Population!AU$170</f>
        <v>0.89314612089481205</v>
      </c>
      <c r="AN265" s="82">
        <f>AN$125/Population!AV$170</f>
        <v>0.89316946348380999</v>
      </c>
      <c r="AO265" s="82">
        <f>AO$125/Population!AW$170</f>
        <v>0.89328340744207813</v>
      </c>
      <c r="AP265" s="82">
        <f>AP$125/Population!AX$170</f>
        <v>0.89342511274626157</v>
      </c>
      <c r="AQ265" s="82">
        <f>AQ$125/Population!AY$170</f>
        <v>0.89366729678638945</v>
      </c>
      <c r="AR265" s="82">
        <f>AR$125/Population!AZ$170</f>
        <v>0.89366247329693804</v>
      </c>
      <c r="AS265" s="82">
        <f>AS$125/Population!BA$170</f>
        <v>0.89365901801134962</v>
      </c>
      <c r="AT265" s="82">
        <f>AT$125/Population!BB$170</f>
        <v>0.89353612167300378</v>
      </c>
      <c r="AU265" s="82">
        <f>AU$125/Population!BC$170</f>
        <v>0.89382845188284521</v>
      </c>
      <c r="AV265" s="82">
        <f>AV$125/Population!BD$170</f>
        <v>0.89375000000000004</v>
      </c>
      <c r="AW265" s="82">
        <f>AW$125/Population!BE$170</f>
        <v>0.8938984881209503</v>
      </c>
      <c r="AX265" s="82">
        <f>AX$125/Population!BF$170</f>
        <v>0.89382785956964894</v>
      </c>
      <c r="AY265" s="82">
        <f>AY$125/Population!BG$170</f>
        <v>0.89394796380090502</v>
      </c>
      <c r="AZ265" s="82">
        <f>AZ$125/Population!BH$170</f>
        <v>0.8937534857780256</v>
      </c>
      <c r="BA265" s="82">
        <f>BA$125/Population!BI$170</f>
        <v>0.8935275987671617</v>
      </c>
      <c r="BB265" s="82">
        <f>BB$125/Population!BJ$170</f>
        <v>0.89376379690949226</v>
      </c>
      <c r="BC265" s="82">
        <f>BC$125/Population!BK$170</f>
        <v>0.89366754617414246</v>
      </c>
      <c r="BD265" s="82">
        <f>BD$125/Population!BL$170</f>
        <v>0.89364957918898236</v>
      </c>
    </row>
    <row r="266" spans="3:56" x14ac:dyDescent="0.2">
      <c r="C266" s="28">
        <v>61</v>
      </c>
      <c r="E266" s="82">
        <f>E$126/Population!M$171</f>
        <v>0.82548058801356949</v>
      </c>
      <c r="F266" s="82">
        <f>F$126/Population!N$171</f>
        <v>0.82881231671554256</v>
      </c>
      <c r="G266" s="82">
        <f>G$126/Population!O$171</f>
        <v>0.83211143695014667</v>
      </c>
      <c r="H266" s="82">
        <f>H$126/Population!P$171</f>
        <v>0.83542101600556717</v>
      </c>
      <c r="I266" s="82">
        <f>I$126/Population!Q$171</f>
        <v>0.83869863013698631</v>
      </c>
      <c r="J266" s="82">
        <f>J$126/Population!R$171</f>
        <v>0.84135413209425824</v>
      </c>
      <c r="K266" s="82">
        <f>K$126/Population!S$171</f>
        <v>0.844185293164885</v>
      </c>
      <c r="L266" s="82">
        <f>L$126/Population!T$171</f>
        <v>0.84650406504065046</v>
      </c>
      <c r="M266" s="82">
        <f>M$126/Population!U$171</f>
        <v>0.84870364292746969</v>
      </c>
      <c r="N266" s="82">
        <f>N$126/Population!V$171</f>
        <v>0.85128726287262868</v>
      </c>
      <c r="O266" s="82">
        <f>O$126/Population!W$171</f>
        <v>0.85304169514695827</v>
      </c>
      <c r="P266" s="82">
        <f>P$126/Population!X$171</f>
        <v>0.85483316133470932</v>
      </c>
      <c r="Q266" s="82">
        <f>Q$126/Population!Y$171</f>
        <v>0.85694961109232326</v>
      </c>
      <c r="R266" s="82">
        <f>R$126/Population!Z$171</f>
        <v>0.85838053982006002</v>
      </c>
      <c r="S266" s="82">
        <f>S$126/Population!AA$171</f>
        <v>0.85977242302543511</v>
      </c>
      <c r="T266" s="82">
        <f>T$126/Population!AB$171</f>
        <v>0.86111111111111116</v>
      </c>
      <c r="U266" s="82">
        <f>U$126/Population!AC$171</f>
        <v>0.86254521538967444</v>
      </c>
      <c r="V266" s="82">
        <f>V$126/Population!AD$171</f>
        <v>0.86365181910914657</v>
      </c>
      <c r="W266" s="82">
        <f>W$126/Population!AE$171</f>
        <v>0.8647326109751835</v>
      </c>
      <c r="X266" s="82">
        <f>X$126/Population!AF$171</f>
        <v>0.86548223350253806</v>
      </c>
      <c r="Y266" s="82">
        <f>Y$126/Population!AG$171</f>
        <v>0.86674090571640683</v>
      </c>
      <c r="Z266" s="82">
        <f>Z$126/Population!AH$171</f>
        <v>0.86738484398216942</v>
      </c>
      <c r="AA266" s="82">
        <f>AA$126/Population!AI$171</f>
        <v>0.86785308595229083</v>
      </c>
      <c r="AB266" s="82">
        <f>AB$126/Population!AJ$171</f>
        <v>0.86882829771554904</v>
      </c>
      <c r="AC266" s="82">
        <f>AC$126/Population!AK$171</f>
        <v>0.86917238886881099</v>
      </c>
      <c r="AD266" s="82">
        <f>AD$126/Population!AL$171</f>
        <v>0.86964160224877018</v>
      </c>
      <c r="AE266" s="82">
        <f>AE$126/Population!AM$171</f>
        <v>0.87039610840861714</v>
      </c>
      <c r="AF266" s="82">
        <f>AF$126/Population!AN$171</f>
        <v>0.87069829602405613</v>
      </c>
      <c r="AG266" s="82">
        <f>AG$126/Population!AO$171</f>
        <v>0.87102067607482769</v>
      </c>
      <c r="AH266" s="82">
        <f>AH$126/Population!AP$171</f>
        <v>0.8712903225806452</v>
      </c>
      <c r="AI266" s="82">
        <f>AI$126/Population!AQ$171</f>
        <v>0.8717552533992583</v>
      </c>
      <c r="AJ266" s="82">
        <f>AJ$126/Population!AR$171</f>
        <v>0.87197640117994102</v>
      </c>
      <c r="AK266" s="82">
        <f>AK$126/Population!AS$171</f>
        <v>0.87204724409448819</v>
      </c>
      <c r="AL266" s="82">
        <f>AL$126/Population!AT$171</f>
        <v>0.87227827934147639</v>
      </c>
      <c r="AM266" s="82">
        <f>AM$126/Population!AU$171</f>
        <v>0.87243621810905447</v>
      </c>
      <c r="AN266" s="82">
        <f>AN$126/Population!AV$171</f>
        <v>0.87264936919781</v>
      </c>
      <c r="AO266" s="82">
        <f>AO$126/Population!AW$171</f>
        <v>0.87281323877068562</v>
      </c>
      <c r="AP266" s="82">
        <f>AP$126/Population!AX$171</f>
        <v>0.8728932584269663</v>
      </c>
      <c r="AQ266" s="82">
        <f>AQ$126/Population!AY$171</f>
        <v>0.87301210538808449</v>
      </c>
      <c r="AR266" s="82">
        <f>AR$126/Population!AZ$171</f>
        <v>0.87310964083175802</v>
      </c>
      <c r="AS266" s="82">
        <f>AS$126/Population!BA$171</f>
        <v>0.87280493592785957</v>
      </c>
      <c r="AT266" s="82">
        <f>AT$126/Population!BB$171</f>
        <v>0.87296497286630492</v>
      </c>
      <c r="AU266" s="82">
        <f>AU$126/Population!BC$171</f>
        <v>0.87303598580841357</v>
      </c>
      <c r="AV266" s="82">
        <f>AV$126/Population!BD$171</f>
        <v>0.872974385781495</v>
      </c>
      <c r="AW266" s="82">
        <f>AW$126/Population!BE$171</f>
        <v>0.87324310255075477</v>
      </c>
      <c r="AX266" s="82">
        <f>AX$126/Population!BF$171</f>
        <v>0.87294308065821424</v>
      </c>
      <c r="AY266" s="82">
        <f>AY$126/Population!BG$171</f>
        <v>0.87298444130127295</v>
      </c>
      <c r="AZ266" s="82">
        <f>AZ$126/Population!BH$171</f>
        <v>0.87312800226052556</v>
      </c>
      <c r="BA266" s="82">
        <f>BA$126/Population!BI$171</f>
        <v>0.87322373920312069</v>
      </c>
      <c r="BB266" s="82">
        <f>BB$126/Population!BJ$171</f>
        <v>0.87290033594624861</v>
      </c>
      <c r="BC266" s="82">
        <f>BC$126/Population!BK$171</f>
        <v>0.87317342156051836</v>
      </c>
      <c r="BD266" s="82">
        <f>BD$126/Population!BL$171</f>
        <v>0.87318745056683367</v>
      </c>
    </row>
    <row r="267" spans="3:56" x14ac:dyDescent="0.2">
      <c r="C267" s="28">
        <v>62</v>
      </c>
      <c r="E267" s="82">
        <f>E$127/Population!M$172</f>
        <v>0.79702776691435273</v>
      </c>
      <c r="F267" s="82">
        <f>F$127/Population!N$172</f>
        <v>0.80090497737556565</v>
      </c>
      <c r="G267" s="82">
        <f>G$127/Population!O$172</f>
        <v>0.80477064220183481</v>
      </c>
      <c r="H267" s="82">
        <f>H$127/Population!P$172</f>
        <v>0.80800293685756241</v>
      </c>
      <c r="I267" s="82">
        <f>I$127/Population!Q$172</f>
        <v>0.81136680613668066</v>
      </c>
      <c r="J267" s="82">
        <f>J$127/Population!R$172</f>
        <v>0.81428081016134568</v>
      </c>
      <c r="K267" s="82">
        <f>K$127/Population!S$172</f>
        <v>0.81730449251247916</v>
      </c>
      <c r="L267" s="82">
        <f>L$127/Population!T$172</f>
        <v>0.82012987012987015</v>
      </c>
      <c r="M267" s="82">
        <f>M$127/Population!U$172</f>
        <v>0.82268578878748366</v>
      </c>
      <c r="N267" s="82">
        <f>N$127/Population!V$172</f>
        <v>0.82499999999999996</v>
      </c>
      <c r="O267" s="82">
        <f>O$127/Population!W$172</f>
        <v>0.82694265354597896</v>
      </c>
      <c r="P267" s="82">
        <f>P$127/Population!X$172</f>
        <v>0.82916809311879491</v>
      </c>
      <c r="Q267" s="82">
        <f>Q$127/Population!Y$172</f>
        <v>0.8311509303928325</v>
      </c>
      <c r="R267" s="82">
        <f>R$127/Population!Z$172</f>
        <v>0.83271249576701656</v>
      </c>
      <c r="S267" s="82">
        <f>S$127/Population!AA$172</f>
        <v>0.83416750083416746</v>
      </c>
      <c r="T267" s="82">
        <f>T$127/Population!AB$172</f>
        <v>0.83579088471849861</v>
      </c>
      <c r="U267" s="82">
        <f>U$127/Population!AC$172</f>
        <v>0.83736910994764402</v>
      </c>
      <c r="V267" s="82">
        <f>V$127/Population!AD$172</f>
        <v>0.83838051349572085</v>
      </c>
      <c r="W267" s="82">
        <f>W$127/Population!AE$172</f>
        <v>0.83974140864239533</v>
      </c>
      <c r="X267" s="82">
        <f>X$127/Population!AF$172</f>
        <v>0.84085344526058059</v>
      </c>
      <c r="Y267" s="82">
        <f>Y$127/Population!AG$172</f>
        <v>0.84149437794704385</v>
      </c>
      <c r="Z267" s="82">
        <f>Z$127/Population!AH$172</f>
        <v>0.8426132145508537</v>
      </c>
      <c r="AA267" s="82">
        <f>AA$127/Population!AI$172</f>
        <v>0.84355258268301747</v>
      </c>
      <c r="AB267" s="82">
        <f>AB$127/Population!AJ$172</f>
        <v>0.84399848542218858</v>
      </c>
      <c r="AC267" s="82">
        <f>AC$127/Population!AK$172</f>
        <v>0.84487840825350036</v>
      </c>
      <c r="AD267" s="82">
        <f>AD$127/Population!AL$172</f>
        <v>0.84531984098301405</v>
      </c>
      <c r="AE267" s="82">
        <f>AE$127/Population!AM$172</f>
        <v>0.84574841883345042</v>
      </c>
      <c r="AF267" s="82">
        <f>AF$127/Population!AN$172</f>
        <v>0.84642112578179296</v>
      </c>
      <c r="AG267" s="82">
        <f>AG$127/Population!AO$172</f>
        <v>0.84635938543754174</v>
      </c>
      <c r="AH267" s="82">
        <f>AH$127/Population!AP$172</f>
        <v>0.84706268460781098</v>
      </c>
      <c r="AI267" s="82">
        <f>AI$127/Population!AQ$172</f>
        <v>0.84741935483870967</v>
      </c>
      <c r="AJ267" s="82">
        <f>AJ$127/Population!AR$172</f>
        <v>0.84765142150803463</v>
      </c>
      <c r="AK267" s="82">
        <f>AK$127/Population!AS$172</f>
        <v>0.84753759952816277</v>
      </c>
      <c r="AL267" s="82">
        <f>AL$127/Population!AT$172</f>
        <v>0.84786276715410569</v>
      </c>
      <c r="AM267" s="82">
        <f>AM$127/Population!AU$172</f>
        <v>0.84811471056824217</v>
      </c>
      <c r="AN267" s="82">
        <f>AN$127/Population!AV$172</f>
        <v>0.84838628971728791</v>
      </c>
      <c r="AO267" s="82">
        <f>AO$127/Population!AW$172</f>
        <v>0.84836943584860747</v>
      </c>
      <c r="AP267" s="82">
        <f>AP$127/Population!AX$172</f>
        <v>0.84846335697399522</v>
      </c>
      <c r="AQ267" s="82">
        <f>AQ$127/Population!AY$172</f>
        <v>0.84854868913857673</v>
      </c>
      <c r="AR267" s="82">
        <f>AR$127/Population!AZ$172</f>
        <v>0.8488013292190838</v>
      </c>
      <c r="AS267" s="82">
        <f>AS$127/Population!BA$172</f>
        <v>0.84857075360264589</v>
      </c>
      <c r="AT267" s="82">
        <f>AT$127/Population!BB$172</f>
        <v>0.84883720930232553</v>
      </c>
      <c r="AU267" s="82">
        <f>AU$127/Population!BC$172</f>
        <v>0.84882860665844639</v>
      </c>
      <c r="AV267" s="82">
        <f>AV$127/Population!BD$172</f>
        <v>0.84878419452887544</v>
      </c>
      <c r="AW267" s="82">
        <f>AW$127/Population!BE$172</f>
        <v>0.84874608150470221</v>
      </c>
      <c r="AX267" s="82">
        <f>AX$127/Population!BF$172</f>
        <v>0.84885535900104059</v>
      </c>
      <c r="AY267" s="82">
        <f>AY$127/Population!BG$172</f>
        <v>0.8487462928012941</v>
      </c>
      <c r="AZ267" s="82">
        <f>AZ$127/Population!BH$172</f>
        <v>0.84878462408140187</v>
      </c>
      <c r="BA267" s="82">
        <f>BA$127/Population!BI$172</f>
        <v>0.84895539243365326</v>
      </c>
      <c r="BB267" s="82">
        <f>BB$127/Population!BJ$172</f>
        <v>0.84883073496659245</v>
      </c>
      <c r="BC267" s="82">
        <f>BC$127/Population!BK$172</f>
        <v>0.848951048951049</v>
      </c>
      <c r="BD267" s="82">
        <f>BD$127/Population!BL$172</f>
        <v>0.84880198292481412</v>
      </c>
    </row>
    <row r="268" spans="3:56" x14ac:dyDescent="0.2">
      <c r="C268" s="28">
        <v>63</v>
      </c>
      <c r="E268" s="82">
        <f>E$128/Population!M$173</f>
        <v>0.76045016077170413</v>
      </c>
      <c r="F268" s="82">
        <f>F$128/Population!N$173</f>
        <v>0.76507439310884884</v>
      </c>
      <c r="G268" s="82">
        <f>G$128/Population!O$173</f>
        <v>0.7691726482810729</v>
      </c>
      <c r="H268" s="82">
        <f>H$128/Population!P$173</f>
        <v>0.77271055535123212</v>
      </c>
      <c r="I268" s="82">
        <f>I$128/Population!Q$173</f>
        <v>0.77622377622377625</v>
      </c>
      <c r="J268" s="82">
        <f>J$128/Population!R$173</f>
        <v>0.77964323189926543</v>
      </c>
      <c r="K268" s="82">
        <f>K$128/Population!S$173</f>
        <v>0.78305785123966942</v>
      </c>
      <c r="L268" s="82">
        <f>L$128/Population!T$173</f>
        <v>0.78604806408544725</v>
      </c>
      <c r="M268" s="82">
        <f>M$128/Population!U$173</f>
        <v>0.78866818625854773</v>
      </c>
      <c r="N268" s="82">
        <f>N$128/Population!V$173</f>
        <v>0.79117647058823526</v>
      </c>
      <c r="O268" s="82">
        <f>O$128/Population!W$173</f>
        <v>0.79360369271348497</v>
      </c>
      <c r="P268" s="82">
        <f>P$128/Population!X$173</f>
        <v>0.79591836734693877</v>
      </c>
      <c r="Q268" s="82">
        <f>Q$128/Population!Y$173</f>
        <v>0.79794168096054885</v>
      </c>
      <c r="R268" s="82">
        <f>R$128/Population!Z$173</f>
        <v>0.79979288919571967</v>
      </c>
      <c r="S268" s="82">
        <f>S$128/Population!AA$173</f>
        <v>0.80156037991858886</v>
      </c>
      <c r="T268" s="82">
        <f>T$128/Population!AB$173</f>
        <v>0.80314171122994649</v>
      </c>
      <c r="U268" s="82">
        <f>U$128/Population!AC$173</f>
        <v>0.80496811010406177</v>
      </c>
      <c r="V268" s="82">
        <f>V$128/Population!AD$173</f>
        <v>0.80602883355176935</v>
      </c>
      <c r="W268" s="82">
        <f>W$128/Population!AE$173</f>
        <v>0.80718523401450226</v>
      </c>
      <c r="X268" s="82">
        <f>X$128/Population!AF$173</f>
        <v>0.80885860306643953</v>
      </c>
      <c r="Y268" s="82">
        <f>Y$128/Population!AG$173</f>
        <v>0.80987394957983194</v>
      </c>
      <c r="Z268" s="82">
        <f>Z$128/Population!AH$173</f>
        <v>0.81052631578947365</v>
      </c>
      <c r="AA268" s="82">
        <f>AA$128/Population!AI$173</f>
        <v>0.81166419019316494</v>
      </c>
      <c r="AB268" s="82">
        <f>AB$128/Population!AJ$173</f>
        <v>0.81226765799256506</v>
      </c>
      <c r="AC268" s="82">
        <f>AC$128/Population!AK$173</f>
        <v>0.81287878787878787</v>
      </c>
      <c r="AD268" s="82">
        <f>AD$128/Population!AL$173</f>
        <v>0.81355932203389836</v>
      </c>
      <c r="AE268" s="82">
        <f>AE$128/Population!AM$173</f>
        <v>0.81417208966015908</v>
      </c>
      <c r="AF268" s="82">
        <f>AF$128/Population!AN$173</f>
        <v>0.81476274165202112</v>
      </c>
      <c r="AG268" s="82">
        <f>AG$128/Population!AO$173</f>
        <v>0.81514940931202229</v>
      </c>
      <c r="AH268" s="82">
        <f>AH$128/Population!AP$173</f>
        <v>0.81556966254594054</v>
      </c>
      <c r="AI268" s="82">
        <f>AI$128/Population!AQ$173</f>
        <v>0.81588447653429608</v>
      </c>
      <c r="AJ268" s="82">
        <f>AJ$128/Population!AR$173</f>
        <v>0.81612903225806455</v>
      </c>
      <c r="AK268" s="82">
        <f>AK$128/Population!AS$173</f>
        <v>0.8164400494437577</v>
      </c>
      <c r="AL268" s="82">
        <f>AL$128/Population!AT$173</f>
        <v>0.81651917404129792</v>
      </c>
      <c r="AM268" s="82">
        <f>AM$128/Population!AU$173</f>
        <v>0.81687763713080164</v>
      </c>
      <c r="AN268" s="82">
        <f>AN$128/Population!AV$173</f>
        <v>0.81699867197875164</v>
      </c>
      <c r="AO268" s="82">
        <f>AO$128/Population!AW$173</f>
        <v>0.81706706706706711</v>
      </c>
      <c r="AP268" s="82">
        <f>AP$128/Population!AX$173</f>
        <v>0.8173374613003096</v>
      </c>
      <c r="AQ268" s="82">
        <f>AQ$128/Population!AY$173</f>
        <v>0.81740775780510877</v>
      </c>
      <c r="AR268" s="82">
        <f>AR$128/Population!AZ$173</f>
        <v>0.81737298056661201</v>
      </c>
      <c r="AS268" s="82">
        <f>AS$128/Population!BA$173</f>
        <v>0.81746973652978872</v>
      </c>
      <c r="AT268" s="82">
        <f>AT$128/Population!BB$173</f>
        <v>0.81758034026465032</v>
      </c>
      <c r="AU268" s="82">
        <f>AU$128/Population!BC$173</f>
        <v>0.81751305173232081</v>
      </c>
      <c r="AV268" s="82">
        <f>AV$128/Population!BD$173</f>
        <v>0.81730769230769229</v>
      </c>
      <c r="AW268" s="82">
        <f>AW$128/Population!BE$173</f>
        <v>0.81742213218536341</v>
      </c>
      <c r="AX268" s="82">
        <f>AX$128/Population!BF$173</f>
        <v>0.81744580830504043</v>
      </c>
      <c r="AY268" s="82">
        <f>AY$128/Population!BG$173</f>
        <v>0.81747269890795626</v>
      </c>
      <c r="AZ268" s="82">
        <f>AZ$128/Population!BH$173</f>
        <v>0.81756938830503911</v>
      </c>
      <c r="BA268" s="82">
        <f>BA$128/Population!BI$173</f>
        <v>0.81751412429378534</v>
      </c>
      <c r="BB268" s="82">
        <f>BB$128/Population!BJ$173</f>
        <v>0.81748942172073347</v>
      </c>
      <c r="BC268" s="82">
        <f>BC$128/Population!BK$173</f>
        <v>0.81752433936022251</v>
      </c>
      <c r="BD268" s="82">
        <f>BD$128/Population!BL$173</f>
        <v>0.81749580771380659</v>
      </c>
    </row>
    <row r="269" spans="3:56" x14ac:dyDescent="0.2">
      <c r="C269" s="28">
        <v>64</v>
      </c>
      <c r="E269" s="82">
        <f>E$129/Population!M$174</f>
        <v>0.70956957793564568</v>
      </c>
      <c r="F269" s="82">
        <f>F$129/Population!N$174</f>
        <v>0.71405557792992347</v>
      </c>
      <c r="G269" s="82">
        <f>G$129/Population!O$174</f>
        <v>0.71888496270121716</v>
      </c>
      <c r="H269" s="82">
        <f>H$129/Population!P$174</f>
        <v>0.72338006820765444</v>
      </c>
      <c r="I269" s="82">
        <f>I$129/Population!Q$174</f>
        <v>0.72720561092654112</v>
      </c>
      <c r="J269" s="82">
        <f>J$129/Population!R$174</f>
        <v>0.73096821877309681</v>
      </c>
      <c r="K269" s="82">
        <f>K$129/Population!S$174</f>
        <v>0.7345505617977528</v>
      </c>
      <c r="L269" s="82">
        <f>L$129/Population!T$174</f>
        <v>0.73798824749395087</v>
      </c>
      <c r="M269" s="82">
        <f>M$129/Population!U$174</f>
        <v>0.74103852596314912</v>
      </c>
      <c r="N269" s="82">
        <f>N$129/Population!V$174</f>
        <v>0.74411764705882355</v>
      </c>
      <c r="O269" s="82">
        <f>O$129/Population!W$174</f>
        <v>0.74680223023942272</v>
      </c>
      <c r="P269" s="82">
        <f>P$129/Population!X$174</f>
        <v>0.7492557062520675</v>
      </c>
      <c r="Q269" s="82">
        <f>Q$129/Population!Y$174</f>
        <v>0.75136425648021832</v>
      </c>
      <c r="R269" s="82">
        <f>R$129/Population!Z$174</f>
        <v>0.75369797041623665</v>
      </c>
      <c r="S269" s="82">
        <f>S$129/Population!AA$174</f>
        <v>0.75597092419522327</v>
      </c>
      <c r="T269" s="82">
        <f>T$129/Population!AB$174</f>
        <v>0.7578231292517007</v>
      </c>
      <c r="U269" s="82">
        <f>U$129/Population!AC$174</f>
        <v>0.7593833780160858</v>
      </c>
      <c r="V269" s="82">
        <f>V$129/Population!AD$174</f>
        <v>0.76084762865792133</v>
      </c>
      <c r="W269" s="82">
        <f>W$129/Population!AE$174</f>
        <v>0.76223316912972083</v>
      </c>
      <c r="X269" s="82">
        <f>X$129/Population!AF$174</f>
        <v>0.76379253386190948</v>
      </c>
      <c r="Y269" s="82">
        <f>Y$129/Population!AG$174</f>
        <v>0.76484641638225259</v>
      </c>
      <c r="Z269" s="82">
        <f>Z$129/Population!AH$174</f>
        <v>0.76577840112201967</v>
      </c>
      <c r="AA269" s="82">
        <f>AA$129/Population!AI$174</f>
        <v>0.76663031624863687</v>
      </c>
      <c r="AB269" s="82">
        <f>AB$129/Population!AJ$174</f>
        <v>0.76757158795091107</v>
      </c>
      <c r="AC269" s="82">
        <f>AC$129/Population!AK$174</f>
        <v>0.7685150725716412</v>
      </c>
      <c r="AD269" s="82">
        <f>AD$129/Population!AL$174</f>
        <v>0.76914329037149354</v>
      </c>
      <c r="AE269" s="82">
        <f>AE$129/Population!AM$174</f>
        <v>0.76982663223902614</v>
      </c>
      <c r="AF269" s="82">
        <f>AF$129/Population!AN$174</f>
        <v>0.77026049204052094</v>
      </c>
      <c r="AG269" s="82">
        <f>AG$129/Population!AO$174</f>
        <v>0.77101653183257124</v>
      </c>
      <c r="AH269" s="82">
        <f>AH$129/Population!AP$174</f>
        <v>0.77121001390820587</v>
      </c>
      <c r="AI269" s="82">
        <f>AI$129/Population!AQ$174</f>
        <v>0.77164827816783688</v>
      </c>
      <c r="AJ269" s="82">
        <f>AJ$129/Population!AR$174</f>
        <v>0.77208538587848929</v>
      </c>
      <c r="AK269" s="82">
        <f>AK$129/Population!AS$174</f>
        <v>0.77243382827630724</v>
      </c>
      <c r="AL269" s="82">
        <f>AL$129/Population!AT$174</f>
        <v>0.77272727272727271</v>
      </c>
      <c r="AM269" s="82">
        <f>AM$129/Population!AU$174</f>
        <v>0.77272727272727271</v>
      </c>
      <c r="AN269" s="82">
        <f>AN$129/Population!AV$174</f>
        <v>0.77286799887419078</v>
      </c>
      <c r="AO269" s="82">
        <f>AO$129/Population!AW$174</f>
        <v>0.7732589048378522</v>
      </c>
      <c r="AP269" s="82">
        <f>AP$129/Population!AX$174</f>
        <v>0.77310293012772346</v>
      </c>
      <c r="AQ269" s="82">
        <f>AQ$129/Population!AY$174</f>
        <v>0.77335557673975219</v>
      </c>
      <c r="AR269" s="82">
        <f>AR$129/Population!AZ$174</f>
        <v>0.77330809275911028</v>
      </c>
      <c r="AS269" s="82">
        <f>AS$129/Population!BA$174</f>
        <v>0.77366447985004683</v>
      </c>
      <c r="AT269" s="82">
        <f>AT$129/Population!BB$174</f>
        <v>0.77345048682023276</v>
      </c>
      <c r="AU269" s="82">
        <f>AU$129/Population!BC$174</f>
        <v>0.77352245862884161</v>
      </c>
      <c r="AV269" s="82">
        <f>AV$129/Population!BD$174</f>
        <v>0.77355803465464035</v>
      </c>
      <c r="AW269" s="82">
        <f>AW$129/Population!BE$174</f>
        <v>0.77361282367447592</v>
      </c>
      <c r="AX269" s="82">
        <f>AX$129/Population!BF$174</f>
        <v>0.7735562310030395</v>
      </c>
      <c r="AY269" s="82">
        <f>AY$129/Population!BG$174</f>
        <v>0.77357012274745363</v>
      </c>
      <c r="AZ269" s="82">
        <f>AZ$129/Population!BH$174</f>
        <v>0.77353094123764954</v>
      </c>
      <c r="BA269" s="82">
        <f>BA$129/Population!BI$174</f>
        <v>0.7734375</v>
      </c>
      <c r="BB269" s="82">
        <f>BB$129/Population!BJ$174</f>
        <v>0.77379271392262072</v>
      </c>
      <c r="BC269" s="82">
        <f>BC$129/Population!BK$174</f>
        <v>0.77382966723068247</v>
      </c>
      <c r="BD269" s="82">
        <f>BD$129/Population!BL$174</f>
        <v>0.77363737486095663</v>
      </c>
    </row>
    <row r="270" spans="3:56" x14ac:dyDescent="0.2">
      <c r="C270" s="28">
        <v>65</v>
      </c>
      <c r="E270" s="82">
        <f>E$130/Population!M$175</f>
        <v>0.64703389830508473</v>
      </c>
      <c r="F270" s="82">
        <f>F$130/Population!N$175</f>
        <v>0.65241090146750524</v>
      </c>
      <c r="G270" s="82">
        <f>G$130/Population!O$175</f>
        <v>0.65750101091791346</v>
      </c>
      <c r="H270" s="82">
        <f>H$130/Population!P$175</f>
        <v>0.66246056782334384</v>
      </c>
      <c r="I270" s="82">
        <f>I$130/Population!Q$175</f>
        <v>0.66653977921583552</v>
      </c>
      <c r="J270" s="82">
        <f>J$130/Population!R$175</f>
        <v>0.67087198515769941</v>
      </c>
      <c r="K270" s="82">
        <f>K$130/Population!S$175</f>
        <v>0.67471221685852212</v>
      </c>
      <c r="L270" s="82">
        <f>L$130/Population!T$175</f>
        <v>0.67854622441778401</v>
      </c>
      <c r="M270" s="82">
        <f>M$130/Population!U$175</f>
        <v>0.68194444444444446</v>
      </c>
      <c r="N270" s="82">
        <f>N$130/Population!V$175</f>
        <v>0.68506056527590853</v>
      </c>
      <c r="O270" s="82">
        <f>O$130/Population!W$175</f>
        <v>0.68821791926485065</v>
      </c>
      <c r="P270" s="82">
        <f>P$130/Population!X$175</f>
        <v>0.69081330260125129</v>
      </c>
      <c r="Q270" s="82">
        <f>Q$130/Population!Y$175</f>
        <v>0.69378943872467613</v>
      </c>
      <c r="R270" s="82">
        <f>R$130/Population!Z$175</f>
        <v>0.69599452242382742</v>
      </c>
      <c r="S270" s="82">
        <f>S$130/Population!AA$175</f>
        <v>0.6979634104245771</v>
      </c>
      <c r="T270" s="82">
        <f>T$130/Population!AB$175</f>
        <v>0.7</v>
      </c>
      <c r="U270" s="82">
        <f>U$130/Population!AC$175</f>
        <v>0.70214943705220056</v>
      </c>
      <c r="V270" s="82">
        <f>V$130/Population!AD$175</f>
        <v>0.7038655462184874</v>
      </c>
      <c r="W270" s="82">
        <f>W$130/Population!AE$175</f>
        <v>0.70546558704453444</v>
      </c>
      <c r="X270" s="82">
        <f>X$130/Population!AF$175</f>
        <v>0.70685111989459815</v>
      </c>
      <c r="Y270" s="82">
        <f>Y$130/Population!AG$175</f>
        <v>0.70818151705862864</v>
      </c>
      <c r="Z270" s="82">
        <f>Z$130/Population!AH$175</f>
        <v>0.70920287375983582</v>
      </c>
      <c r="AA270" s="82">
        <f>AA$130/Population!AI$175</f>
        <v>0.71011946591707664</v>
      </c>
      <c r="AB270" s="82">
        <f>AB$130/Population!AJ$175</f>
        <v>0.71147540983606561</v>
      </c>
      <c r="AC270" s="82">
        <f>AC$130/Population!AK$175</f>
        <v>0.71236959761549923</v>
      </c>
      <c r="AD270" s="82">
        <f>AD$130/Population!AL$175</f>
        <v>0.71300782705926202</v>
      </c>
      <c r="AE270" s="82">
        <f>AE$130/Population!AM$175</f>
        <v>0.7137433561123766</v>
      </c>
      <c r="AF270" s="82">
        <f>AF$130/Population!AN$175</f>
        <v>0.71444403398596235</v>
      </c>
      <c r="AG270" s="82">
        <f>AG$130/Population!AO$175</f>
        <v>0.71485507246376812</v>
      </c>
      <c r="AH270" s="82">
        <f>AH$130/Population!AP$175</f>
        <v>0.71539274392391683</v>
      </c>
      <c r="AI270" s="82">
        <f>AI$130/Population!AQ$175</f>
        <v>0.71587743732590525</v>
      </c>
      <c r="AJ270" s="82">
        <f>AJ$130/Population!AR$175</f>
        <v>0.71610311349179778</v>
      </c>
      <c r="AK270" s="82">
        <f>AK$130/Population!AS$175</f>
        <v>0.71654061164090754</v>
      </c>
      <c r="AL270" s="82">
        <f>AL$130/Population!AT$175</f>
        <v>0.71663974151857834</v>
      </c>
      <c r="AM270" s="82">
        <f>AM$130/Population!AU$175</f>
        <v>0.71702786377708982</v>
      </c>
      <c r="AN270" s="82">
        <f>AN$130/Population!AV$175</f>
        <v>0.71719858156028371</v>
      </c>
      <c r="AO270" s="82">
        <f>AO$130/Population!AW$175</f>
        <v>0.71710340941110173</v>
      </c>
      <c r="AP270" s="82">
        <f>AP$130/Population!AX$175</f>
        <v>0.71740287386907931</v>
      </c>
      <c r="AQ270" s="82">
        <f>AQ$130/Population!AY$175</f>
        <v>0.71765295887662994</v>
      </c>
      <c r="AR270" s="82">
        <f>AR$130/Population!AZ$175</f>
        <v>0.71772846575996185</v>
      </c>
      <c r="AS270" s="82">
        <f>AS$130/Population!BA$175</f>
        <v>0.71760246387112059</v>
      </c>
      <c r="AT270" s="82">
        <f>AT$130/Population!BB$175</f>
        <v>0.71763602251407133</v>
      </c>
      <c r="AU270" s="82">
        <f>AU$130/Population!BC$175</f>
        <v>0.71761350130734491</v>
      </c>
      <c r="AV270" s="82">
        <f>AV$130/Population!BD$175</f>
        <v>0.71776673763898746</v>
      </c>
      <c r="AW270" s="82">
        <f>AW$130/Population!BE$175</f>
        <v>0.71774768353528151</v>
      </c>
      <c r="AX270" s="82">
        <f>AX$130/Population!BF$175</f>
        <v>0.71791707798617965</v>
      </c>
      <c r="AY270" s="82">
        <f>AY$130/Population!BG$175</f>
        <v>0.71768879878357827</v>
      </c>
      <c r="AZ270" s="82">
        <f>AZ$130/Population!BH$175</f>
        <v>0.7178683385579937</v>
      </c>
      <c r="BA270" s="82">
        <f>BA$130/Population!BI$175</f>
        <v>0.71781534460338103</v>
      </c>
      <c r="BB270" s="82">
        <f>BB$130/Population!BJ$175</f>
        <v>0.71786580436540015</v>
      </c>
      <c r="BC270" s="82">
        <f>BC$130/Population!BK$175</f>
        <v>0.7178763061282124</v>
      </c>
      <c r="BD270" s="82">
        <f>BD$130/Population!BL$175</f>
        <v>0.71771009588268475</v>
      </c>
    </row>
    <row r="271" spans="3:56" x14ac:dyDescent="0.2">
      <c r="C271" s="28">
        <v>66</v>
      </c>
      <c r="E271" s="82">
        <f>E$131/Population!M$176</f>
        <v>0.58544984933275934</v>
      </c>
      <c r="F271" s="82">
        <f>F$131/Population!N$176</f>
        <v>0.5904640272456364</v>
      </c>
      <c r="G271" s="82">
        <f>G$131/Population!O$176</f>
        <v>0.59587020648967548</v>
      </c>
      <c r="H271" s="82">
        <f>H$131/Population!P$176</f>
        <v>0.60065067100447334</v>
      </c>
      <c r="I271" s="82">
        <f>I$131/Population!Q$176</f>
        <v>0.60507533703409988</v>
      </c>
      <c r="J271" s="82">
        <f>J$131/Population!R$176</f>
        <v>0.60919540229885061</v>
      </c>
      <c r="K271" s="82">
        <f>K$131/Population!S$176</f>
        <v>0.61328854050018666</v>
      </c>
      <c r="L271" s="82">
        <f>L$131/Population!T$176</f>
        <v>0.61710870377288007</v>
      </c>
      <c r="M271" s="82">
        <f>M$131/Population!U$176</f>
        <v>0.62029808374733852</v>
      </c>
      <c r="N271" s="82">
        <f>N$131/Population!V$176</f>
        <v>0.62360335195530725</v>
      </c>
      <c r="O271" s="82">
        <f>O$131/Population!W$176</f>
        <v>0.6265223274695535</v>
      </c>
      <c r="P271" s="82">
        <f>P$131/Population!X$176</f>
        <v>0.62949521610029691</v>
      </c>
      <c r="Q271" s="82">
        <f>Q$131/Population!Y$176</f>
        <v>0.63203176704169428</v>
      </c>
      <c r="R271" s="82">
        <f>R$131/Population!Z$176</f>
        <v>0.63430096763430099</v>
      </c>
      <c r="S271" s="82">
        <f>S$131/Population!AA$176</f>
        <v>0.63651994497936726</v>
      </c>
      <c r="T271" s="82">
        <f>T$131/Population!AB$176</f>
        <v>0.63869625520110962</v>
      </c>
      <c r="U271" s="82">
        <f>U$131/Population!AC$176</f>
        <v>0.64051603905160392</v>
      </c>
      <c r="V271" s="82">
        <f>V$131/Population!AD$176</f>
        <v>0.64234326824254884</v>
      </c>
      <c r="W271" s="82">
        <f>W$131/Population!AE$176</f>
        <v>0.64372469635627527</v>
      </c>
      <c r="X271" s="82">
        <f>X$131/Population!AF$176</f>
        <v>0.64544530985438542</v>
      </c>
      <c r="Y271" s="82">
        <f>Y$131/Population!AG$176</f>
        <v>0.64672835426305353</v>
      </c>
      <c r="Z271" s="82">
        <f>Z$131/Population!AH$176</f>
        <v>0.64805583250249255</v>
      </c>
      <c r="AA271" s="82">
        <f>AA$131/Population!AI$176</f>
        <v>0.64893617021276595</v>
      </c>
      <c r="AB271" s="82">
        <f>AB$131/Population!AJ$176</f>
        <v>0.64998237574903062</v>
      </c>
      <c r="AC271" s="82">
        <f>AC$131/Population!AK$176</f>
        <v>0.65084002921840756</v>
      </c>
      <c r="AD271" s="82">
        <f>AD$131/Population!AL$176</f>
        <v>0.65147553231228983</v>
      </c>
      <c r="AE271" s="82">
        <f>AE$131/Population!AM$176</f>
        <v>0.65246636771300448</v>
      </c>
      <c r="AF271" s="82">
        <f>AF$131/Population!AN$176</f>
        <v>0.65296803652968038</v>
      </c>
      <c r="AG271" s="82">
        <f>AG$131/Population!AO$176</f>
        <v>0.65346168085894119</v>
      </c>
      <c r="AH271" s="82">
        <f>AH$131/Population!AP$176</f>
        <v>0.65395787944807549</v>
      </c>
      <c r="AI271" s="82">
        <f>AI$131/Population!AQ$176</f>
        <v>0.65419901199717712</v>
      </c>
      <c r="AJ271" s="82">
        <f>AJ$131/Population!AR$176</f>
        <v>0.6546913149633764</v>
      </c>
      <c r="AK271" s="82">
        <f>AK$131/Population!AS$176</f>
        <v>0.65492957746478875</v>
      </c>
      <c r="AL271" s="82">
        <f>AL$131/Population!AT$176</f>
        <v>0.65513833992094861</v>
      </c>
      <c r="AM271" s="82">
        <f>AM$131/Population!AU$176</f>
        <v>0.65555195856264159</v>
      </c>
      <c r="AN271" s="82">
        <f>AN$131/Population!AV$176</f>
        <v>0.65581395348837213</v>
      </c>
      <c r="AO271" s="82">
        <f>AO$131/Population!AW$176</f>
        <v>0.65600947306098278</v>
      </c>
      <c r="AP271" s="82">
        <f>AP$131/Population!AX$176</f>
        <v>0.65594129268981094</v>
      </c>
      <c r="AQ271" s="82">
        <f>AQ$131/Population!AY$176</f>
        <v>0.656183368869936</v>
      </c>
      <c r="AR271" s="82">
        <f>AR$131/Population!AZ$176</f>
        <v>0.65620291310899048</v>
      </c>
      <c r="AS271" s="82">
        <f>AS$131/Population!BA$176</f>
        <v>0.65630975143403447</v>
      </c>
      <c r="AT271" s="82">
        <f>AT$131/Population!BB$176</f>
        <v>0.65638348362600851</v>
      </c>
      <c r="AU271" s="82">
        <f>AU$131/Population!BC$176</f>
        <v>0.6564114607797088</v>
      </c>
      <c r="AV271" s="82">
        <f>AV$131/Population!BD$176</f>
        <v>0.65627231611521064</v>
      </c>
      <c r="AW271" s="82">
        <f>AW$131/Population!BE$176</f>
        <v>0.65647950722577586</v>
      </c>
      <c r="AX271" s="82">
        <f>AX$131/Population!BF$176</f>
        <v>0.6565176022835395</v>
      </c>
      <c r="AY271" s="82">
        <f>AY$131/Population!BG$176</f>
        <v>0.65637351778656128</v>
      </c>
      <c r="AZ271" s="82">
        <f>AZ$131/Population!BH$176</f>
        <v>0.65651953323186196</v>
      </c>
      <c r="BA271" s="82">
        <f>BA$131/Population!BI$176</f>
        <v>0.65638075313807531</v>
      </c>
      <c r="BB271" s="82">
        <f>BB$131/Population!BJ$176</f>
        <v>0.65659984379067948</v>
      </c>
      <c r="BC271" s="82">
        <f>BC$131/Population!BK$176</f>
        <v>0.65641855447680686</v>
      </c>
      <c r="BD271" s="82">
        <f>BD$131/Population!BL$176</f>
        <v>0.65640011302627865</v>
      </c>
    </row>
    <row r="272" spans="3:56" x14ac:dyDescent="0.2">
      <c r="C272" s="28">
        <v>67</v>
      </c>
      <c r="E272" s="82">
        <f>E$132/Population!M$177</f>
        <v>0.52162516382699864</v>
      </c>
      <c r="F272" s="82">
        <f>F$132/Population!N$177</f>
        <v>0.52729636048526862</v>
      </c>
      <c r="G272" s="82">
        <f>G$132/Population!O$177</f>
        <v>0.53279039862837552</v>
      </c>
      <c r="H272" s="82">
        <f>H$132/Population!P$177</f>
        <v>0.53777589134125636</v>
      </c>
      <c r="I272" s="82">
        <f>I$132/Population!Q$177</f>
        <v>0.54240065546907001</v>
      </c>
      <c r="J272" s="82">
        <f>J$132/Population!R$177</f>
        <v>0.54654414702357168</v>
      </c>
      <c r="K272" s="82">
        <f>K$132/Population!S$177</f>
        <v>0.5507526051717484</v>
      </c>
      <c r="L272" s="82">
        <f>L$132/Population!T$177</f>
        <v>0.55451127819548873</v>
      </c>
      <c r="M272" s="82">
        <f>M$132/Population!U$177</f>
        <v>0.55810455058292596</v>
      </c>
      <c r="N272" s="82">
        <f>N$132/Population!V$177</f>
        <v>0.56162915326902463</v>
      </c>
      <c r="O272" s="82">
        <f>O$132/Population!W$177</f>
        <v>0.56485061511423551</v>
      </c>
      <c r="P272" s="82">
        <f>P$132/Population!X$177</f>
        <v>0.56792645556690502</v>
      </c>
      <c r="Q272" s="82">
        <f>Q$132/Population!Y$177</f>
        <v>0.57038512616201864</v>
      </c>
      <c r="R272" s="82">
        <f>R$132/Population!Z$177</f>
        <v>0.57290279627163787</v>
      </c>
      <c r="S272" s="82">
        <f>S$132/Population!AA$177</f>
        <v>0.57516778523489931</v>
      </c>
      <c r="T272" s="82">
        <f>T$132/Population!AB$177</f>
        <v>0.5774550484094052</v>
      </c>
      <c r="U272" s="82">
        <f>U$132/Population!AC$177</f>
        <v>0.57929592192401536</v>
      </c>
      <c r="V272" s="82">
        <f>V$132/Population!AD$177</f>
        <v>0.58093903293622984</v>
      </c>
      <c r="W272" s="82">
        <f>W$132/Population!AE$177</f>
        <v>0.58278829604130811</v>
      </c>
      <c r="X272" s="82">
        <f>X$132/Population!AF$177</f>
        <v>0.58440677966101695</v>
      </c>
      <c r="Y272" s="82">
        <f>Y$132/Population!AG$177</f>
        <v>0.58571428571428574</v>
      </c>
      <c r="Z272" s="82">
        <f>Z$132/Population!AH$177</f>
        <v>0.58698539176626829</v>
      </c>
      <c r="AA272" s="82">
        <f>AA$132/Population!AI$177</f>
        <v>0.58792125458792122</v>
      </c>
      <c r="AB272" s="82">
        <f>AB$132/Population!AJ$177</f>
        <v>0.58924879393521712</v>
      </c>
      <c r="AC272" s="82">
        <f>AC$132/Population!AK$177</f>
        <v>0.59023354564755837</v>
      </c>
      <c r="AD272" s="82">
        <f>AD$132/Population!AL$177</f>
        <v>0.59090909090909094</v>
      </c>
      <c r="AE272" s="82">
        <f>AE$132/Population!AM$177</f>
        <v>0.59145427286356822</v>
      </c>
      <c r="AF272" s="82">
        <f>AF$132/Population!AN$177</f>
        <v>0.59242594675665539</v>
      </c>
      <c r="AG272" s="82">
        <f>AG$132/Population!AO$177</f>
        <v>0.59274809160305342</v>
      </c>
      <c r="AH272" s="82">
        <f>AH$132/Population!AP$177</f>
        <v>0.59339027107315256</v>
      </c>
      <c r="AI272" s="82">
        <f>AI$132/Population!AQ$177</f>
        <v>0.59395484340859428</v>
      </c>
      <c r="AJ272" s="82">
        <f>AJ$132/Population!AR$177</f>
        <v>0.59412597310686488</v>
      </c>
      <c r="AK272" s="82">
        <f>AK$132/Population!AS$177</f>
        <v>0.59426372857642529</v>
      </c>
      <c r="AL272" s="82">
        <f>AL$132/Population!AT$177</f>
        <v>0.59482178883658376</v>
      </c>
      <c r="AM272" s="82">
        <f>AM$132/Population!AU$177</f>
        <v>0.59511228533685601</v>
      </c>
      <c r="AN272" s="82">
        <f>AN$132/Population!AV$177</f>
        <v>0.59506813757300459</v>
      </c>
      <c r="AO272" s="82">
        <f>AO$132/Population!AW$177</f>
        <v>0.59527510102580039</v>
      </c>
      <c r="AP272" s="82">
        <f>AP$132/Population!AX$177</f>
        <v>0.59554896142433233</v>
      </c>
      <c r="AQ272" s="82">
        <f>AQ$132/Population!AY$177</f>
        <v>0.5954738330975955</v>
      </c>
      <c r="AR272" s="82">
        <f>AR$132/Population!AZ$177</f>
        <v>0.59577878706919585</v>
      </c>
      <c r="AS272" s="82">
        <f>AS$132/Population!BA$177</f>
        <v>0.59577145733702497</v>
      </c>
      <c r="AT272" s="82">
        <f>AT$132/Population!BB$177</f>
        <v>0.59592814371257485</v>
      </c>
      <c r="AU272" s="82">
        <f>AU$132/Population!BC$177</f>
        <v>0.59581550166428909</v>
      </c>
      <c r="AV272" s="82">
        <f>AV$132/Population!BD$177</f>
        <v>0.59590491880442453</v>
      </c>
      <c r="AW272" s="82">
        <f>AW$132/Population!BE$177</f>
        <v>0.59575482947770098</v>
      </c>
      <c r="AX272" s="82">
        <f>AX$132/Population!BF$177</f>
        <v>0.59601234274863513</v>
      </c>
      <c r="AY272" s="82">
        <f>AY$132/Population!BG$177</f>
        <v>0.5959018346437932</v>
      </c>
      <c r="AZ272" s="82">
        <f>AZ$132/Population!BH$177</f>
        <v>0.59589210591437758</v>
      </c>
      <c r="BA272" s="82">
        <f>BA$132/Population!BI$177</f>
        <v>0.59603658536585369</v>
      </c>
      <c r="BB272" s="82">
        <f>BB$132/Population!BJ$177</f>
        <v>0.59596753076721654</v>
      </c>
      <c r="BC272" s="82">
        <f>BC$132/Population!BK$177</f>
        <v>0.59593326381647549</v>
      </c>
      <c r="BD272" s="82">
        <f>BD$132/Population!BL$177</f>
        <v>0.59584233261339092</v>
      </c>
    </row>
    <row r="273" spans="3:56" x14ac:dyDescent="0.2">
      <c r="C273" s="28">
        <v>68</v>
      </c>
      <c r="E273" s="82">
        <f>E$133/Population!M$178</f>
        <v>0.46109381947532235</v>
      </c>
      <c r="F273" s="82">
        <f>F$133/Population!N$178</f>
        <v>0.46740088105726874</v>
      </c>
      <c r="G273" s="82">
        <f>G$133/Population!O$178</f>
        <v>0.47313237221494103</v>
      </c>
      <c r="H273" s="82">
        <f>H$133/Population!P$178</f>
        <v>0.47859922178988329</v>
      </c>
      <c r="I273" s="82">
        <f>I$133/Population!Q$178</f>
        <v>0.48373287671232879</v>
      </c>
      <c r="J273" s="82">
        <f>J$133/Population!R$178</f>
        <v>0.48863166597767671</v>
      </c>
      <c r="K273" s="82">
        <f>K$133/Population!S$178</f>
        <v>0.49294639258363565</v>
      </c>
      <c r="L273" s="82">
        <f>L$133/Population!T$178</f>
        <v>0.49746983261969641</v>
      </c>
      <c r="M273" s="82">
        <f>M$133/Population!U$178</f>
        <v>0.50113722517058379</v>
      </c>
      <c r="N273" s="82">
        <f>N$133/Population!V$178</f>
        <v>0.50492797573919634</v>
      </c>
      <c r="O273" s="82">
        <f>O$133/Population!W$178</f>
        <v>0.50827933765298772</v>
      </c>
      <c r="P273" s="82">
        <f>P$133/Population!X$178</f>
        <v>0.51168555240793201</v>
      </c>
      <c r="Q273" s="82">
        <f>Q$133/Population!Y$178</f>
        <v>0.51474622770919065</v>
      </c>
      <c r="R273" s="82">
        <f>R$133/Population!Z$178</f>
        <v>0.51721832163156134</v>
      </c>
      <c r="S273" s="82">
        <f>S$133/Population!AA$178</f>
        <v>0.51994636272209183</v>
      </c>
      <c r="T273" s="82">
        <f>T$133/Population!AB$178</f>
        <v>0.52229729729729735</v>
      </c>
      <c r="U273" s="82">
        <f>U$133/Population!AC$178</f>
        <v>0.52453880960668287</v>
      </c>
      <c r="V273" s="82">
        <f>V$133/Population!AD$178</f>
        <v>0.52629733520336608</v>
      </c>
      <c r="W273" s="82">
        <f>W$133/Population!AE$178</f>
        <v>0.52802255904124074</v>
      </c>
      <c r="X273" s="82">
        <f>X$133/Population!AF$178</f>
        <v>0.52977839335180055</v>
      </c>
      <c r="Y273" s="82">
        <f>Y$133/Population!AG$178</f>
        <v>0.5313565098841172</v>
      </c>
      <c r="Z273" s="82">
        <f>Z$133/Population!AH$178</f>
        <v>0.53283173734610123</v>
      </c>
      <c r="AA273" s="82">
        <f>AA$133/Population!AI$178</f>
        <v>0.53386720053386716</v>
      </c>
      <c r="AB273" s="82">
        <f>AB$133/Population!AJ$178</f>
        <v>0.53487592219986591</v>
      </c>
      <c r="AC273" s="82">
        <f>AC$133/Population!AK$178</f>
        <v>0.53601108033240996</v>
      </c>
      <c r="AD273" s="82">
        <f>AD$133/Population!AL$178</f>
        <v>0.53714895129754714</v>
      </c>
      <c r="AE273" s="82">
        <f>AE$133/Population!AM$178</f>
        <v>0.53792341678939615</v>
      </c>
      <c r="AF273" s="82">
        <f>AF$133/Population!AN$178</f>
        <v>0.53857734286789616</v>
      </c>
      <c r="AG273" s="82">
        <f>AG$133/Population!AO$178</f>
        <v>0.53895370718855851</v>
      </c>
      <c r="AH273" s="82">
        <f>AH$133/Population!AP$178</f>
        <v>0.53946360153256701</v>
      </c>
      <c r="AI273" s="82">
        <f>AI$133/Population!AQ$178</f>
        <v>0.54006708907938872</v>
      </c>
      <c r="AJ273" s="82">
        <f>AJ$133/Population!AR$178</f>
        <v>0.54057017543859653</v>
      </c>
      <c r="AK273" s="82">
        <f>AK$133/Population!AS$178</f>
        <v>0.54083806818181823</v>
      </c>
      <c r="AL273" s="82">
        <f>AL$133/Population!AT$178</f>
        <v>0.54124254124254123</v>
      </c>
      <c r="AM273" s="82">
        <f>AM$133/Population!AU$178</f>
        <v>0.541497975708502</v>
      </c>
      <c r="AN273" s="82">
        <f>AN$133/Population!AV$178</f>
        <v>0.54174950298210733</v>
      </c>
      <c r="AO273" s="82">
        <f>AO$133/Population!AW$178</f>
        <v>0.5419921875</v>
      </c>
      <c r="AP273" s="82">
        <f>AP$133/Population!AX$178</f>
        <v>0.542251325226068</v>
      </c>
      <c r="AQ273" s="82">
        <f>AQ$133/Population!AY$178</f>
        <v>0.54226190476190472</v>
      </c>
      <c r="AR273" s="82">
        <f>AR$133/Population!AZ$178</f>
        <v>0.54228149829738936</v>
      </c>
      <c r="AS273" s="82">
        <f>AS$133/Population!BA$178</f>
        <v>0.5421912670774176</v>
      </c>
      <c r="AT273" s="82">
        <f>AT$133/Population!BB$178</f>
        <v>0.54240282685512364</v>
      </c>
      <c r="AU273" s="82">
        <f>AU$133/Population!BC$178</f>
        <v>0.54250720461095103</v>
      </c>
      <c r="AV273" s="82">
        <f>AV$133/Population!BD$178</f>
        <v>0.54231227651966629</v>
      </c>
      <c r="AW273" s="82">
        <f>AW$133/Population!BE$178</f>
        <v>0.5424728645587541</v>
      </c>
      <c r="AX273" s="82">
        <f>AX$133/Population!BF$178</f>
        <v>0.54243366005259386</v>
      </c>
      <c r="AY273" s="82">
        <f>AY$133/Population!BG$178</f>
        <v>0.54257849666983826</v>
      </c>
      <c r="AZ273" s="82">
        <f>AZ$133/Population!BH$178</f>
        <v>0.54263195605445425</v>
      </c>
      <c r="BA273" s="82">
        <f>BA$133/Population!BI$178</f>
        <v>0.54265873015873012</v>
      </c>
      <c r="BB273" s="82">
        <f>BB$133/Population!BJ$178</f>
        <v>0.54251527494908347</v>
      </c>
      <c r="BC273" s="82">
        <f>BC$133/Population!BK$178</f>
        <v>0.54249737670514164</v>
      </c>
      <c r="BD273" s="82">
        <f>BD$133/Population!BL$178</f>
        <v>0.54270044398015149</v>
      </c>
    </row>
    <row r="274" spans="3:56" x14ac:dyDescent="0.2">
      <c r="C274" s="28">
        <v>69</v>
      </c>
      <c r="E274" s="82">
        <f>E$134/Population!M$179</f>
        <v>0.40976265114196148</v>
      </c>
      <c r="F274" s="82">
        <f>F$134/Population!N$179</f>
        <v>0.41599281221922729</v>
      </c>
      <c r="G274" s="82">
        <f>G$134/Population!O$179</f>
        <v>0.42145082331998218</v>
      </c>
      <c r="H274" s="82">
        <f>H$134/Population!P$179</f>
        <v>0.42693156732891835</v>
      </c>
      <c r="I274" s="82">
        <f>I$134/Population!Q$179</f>
        <v>0.43206640454346878</v>
      </c>
      <c r="J274" s="82">
        <f>J$134/Population!R$179</f>
        <v>0.436607529208135</v>
      </c>
      <c r="K274" s="82">
        <f>K$134/Population!S$179</f>
        <v>0.44133611691022967</v>
      </c>
      <c r="L274" s="82">
        <f>L$134/Population!T$179</f>
        <v>0.44525844525844527</v>
      </c>
      <c r="M274" s="82">
        <f>M$134/Population!U$179</f>
        <v>0.44911591355599212</v>
      </c>
      <c r="N274" s="82">
        <f>N$134/Population!V$179</f>
        <v>0.45273631840796019</v>
      </c>
      <c r="O274" s="82">
        <f>O$134/Population!W$179</f>
        <v>0.45600612088752868</v>
      </c>
      <c r="P274" s="82">
        <f>P$134/Population!X$179</f>
        <v>0.45913548855793679</v>
      </c>
      <c r="Q274" s="82">
        <f>Q$134/Population!Y$179</f>
        <v>0.46214285714285713</v>
      </c>
      <c r="R274" s="82">
        <f>R$134/Population!Z$179</f>
        <v>0.46473029045643155</v>
      </c>
      <c r="S274" s="82">
        <f>S$134/Population!AA$179</f>
        <v>0.4671385237613751</v>
      </c>
      <c r="T274" s="82">
        <f>T$134/Population!AB$179</f>
        <v>0.46959459459459457</v>
      </c>
      <c r="U274" s="82">
        <f>U$134/Population!AC$179</f>
        <v>0.47174948944860451</v>
      </c>
      <c r="V274" s="82">
        <f>V$134/Population!AD$179</f>
        <v>0.47353662811076058</v>
      </c>
      <c r="W274" s="82">
        <f>W$134/Population!AE$179</f>
        <v>0.47528248587570621</v>
      </c>
      <c r="X274" s="82">
        <f>X$134/Population!AF$179</f>
        <v>0.47693399574166073</v>
      </c>
      <c r="Y274" s="82">
        <f>Y$134/Population!AG$179</f>
        <v>0.478397212543554</v>
      </c>
      <c r="Z274" s="82">
        <f>Z$134/Population!AH$179</f>
        <v>0.47993138936535162</v>
      </c>
      <c r="AA274" s="82">
        <f>AA$134/Population!AI$179</f>
        <v>0.48107364074328973</v>
      </c>
      <c r="AB274" s="82">
        <f>AB$134/Population!AJ$179</f>
        <v>0.48204095334004698</v>
      </c>
      <c r="AC274" s="82">
        <f>AC$134/Population!AK$179</f>
        <v>0.48313090418353577</v>
      </c>
      <c r="AD274" s="82">
        <f>AD$134/Population!AL$179</f>
        <v>0.48398328690807801</v>
      </c>
      <c r="AE274" s="82">
        <f>AE$134/Population!AM$179</f>
        <v>0.48498927805575409</v>
      </c>
      <c r="AF274" s="82">
        <f>AF$134/Population!AN$179</f>
        <v>0.48556624722427832</v>
      </c>
      <c r="AG274" s="82">
        <f>AG$134/Population!AO$179</f>
        <v>0.48600605143721631</v>
      </c>
      <c r="AH274" s="82">
        <f>AH$134/Population!AP$179</f>
        <v>0.48676248108925868</v>
      </c>
      <c r="AI274" s="82">
        <f>AI$134/Population!AQ$179</f>
        <v>0.48691301000769821</v>
      </c>
      <c r="AJ274" s="82">
        <f>AJ$134/Population!AR$179</f>
        <v>0.48745788094346687</v>
      </c>
      <c r="AK274" s="82">
        <f>AK$134/Population!AS$179</f>
        <v>0.48770642201834863</v>
      </c>
      <c r="AL274" s="82">
        <f>AL$134/Population!AT$179</f>
        <v>0.48823109843081314</v>
      </c>
      <c r="AM274" s="82">
        <f>AM$134/Population!AU$179</f>
        <v>0.48837209302325579</v>
      </c>
      <c r="AN274" s="82">
        <f>AN$134/Population!AV$179</f>
        <v>0.48848238482384826</v>
      </c>
      <c r="AO274" s="82">
        <f>AO$134/Population!AW$179</f>
        <v>0.48885932823412037</v>
      </c>
      <c r="AP274" s="82">
        <f>AP$134/Population!AX$179</f>
        <v>0.48872917347272132</v>
      </c>
      <c r="AQ274" s="82">
        <f>AQ$134/Population!AY$179</f>
        <v>0.48904881101376718</v>
      </c>
      <c r="AR274" s="82">
        <f>AR$134/Population!AZ$179</f>
        <v>0.48910122424604358</v>
      </c>
      <c r="AS274" s="82">
        <f>AS$134/Population!BA$179</f>
        <v>0.48917995444191342</v>
      </c>
      <c r="AT274" s="82">
        <f>AT$134/Population!BB$179</f>
        <v>0.489247311827957</v>
      </c>
      <c r="AU274" s="82">
        <f>AU$134/Population!BC$179</f>
        <v>0.48923778171689036</v>
      </c>
      <c r="AV274" s="82">
        <f>AV$134/Population!BD$179</f>
        <v>0.48927969164056856</v>
      </c>
      <c r="AW274" s="82">
        <f>AW$134/Population!BE$179</f>
        <v>0.48923959827833574</v>
      </c>
      <c r="AX274" s="82">
        <f>AX$134/Population!BF$179</f>
        <v>0.48935163274964505</v>
      </c>
      <c r="AY274" s="82">
        <f>AY$134/Population!BG$179</f>
        <v>0.48933109566051308</v>
      </c>
      <c r="AZ274" s="82">
        <f>AZ$134/Population!BH$179</f>
        <v>0.4892652671755725</v>
      </c>
      <c r="BA274" s="82">
        <f>BA$134/Population!BI$179</f>
        <v>0.48946360153256707</v>
      </c>
      <c r="BB274" s="82">
        <f>BB$134/Population!BJ$179</f>
        <v>0.48930880159124812</v>
      </c>
      <c r="BC274" s="82">
        <f>BC$134/Population!BK$179</f>
        <v>0.48941056391936716</v>
      </c>
      <c r="BD274" s="82">
        <f>BD$134/Population!BL$179</f>
        <v>0.48935051275308966</v>
      </c>
    </row>
    <row r="275" spans="3:56" x14ac:dyDescent="0.2">
      <c r="C275" s="28">
        <v>70</v>
      </c>
      <c r="E275" s="82">
        <f>E$135/Population!M$180</f>
        <v>0.36133694670280037</v>
      </c>
      <c r="F275" s="82">
        <f>F$135/Population!N$180</f>
        <v>0.36672710788757934</v>
      </c>
      <c r="G275" s="82">
        <f>G$135/Population!O$180</f>
        <v>0.37198726693951795</v>
      </c>
      <c r="H275" s="82">
        <f>H$135/Population!P$180</f>
        <v>0.37657657657657656</v>
      </c>
      <c r="I275" s="82">
        <f>I$135/Population!Q$180</f>
        <v>0.38114387846291331</v>
      </c>
      <c r="J275" s="82">
        <f>J$135/Population!R$180</f>
        <v>0.385499557913351</v>
      </c>
      <c r="K275" s="82">
        <f>K$135/Population!S$180</f>
        <v>0.38949671772428884</v>
      </c>
      <c r="L275" s="82">
        <f>L$135/Population!T$180</f>
        <v>0.39315878378378377</v>
      </c>
      <c r="M275" s="82">
        <f>M$135/Population!U$180</f>
        <v>0.39629629629629631</v>
      </c>
      <c r="N275" s="82">
        <f>N$135/Population!V$180</f>
        <v>0.3999205718824464</v>
      </c>
      <c r="O275" s="82">
        <f>O$135/Population!W$180</f>
        <v>0.40293890177880898</v>
      </c>
      <c r="P275" s="82">
        <f>P$135/Population!X$180</f>
        <v>0.40571870170015456</v>
      </c>
      <c r="Q275" s="82">
        <f>Q$135/Population!Y$180</f>
        <v>0.40829053558327222</v>
      </c>
      <c r="R275" s="82">
        <f>R$135/Population!Z$180</f>
        <v>0.4107464839523981</v>
      </c>
      <c r="S275" s="82">
        <f>S$135/Population!AA$180</f>
        <v>0.41291448516579404</v>
      </c>
      <c r="T275" s="82">
        <f>T$135/Population!AB$180</f>
        <v>0.41496598639455784</v>
      </c>
      <c r="U275" s="82">
        <f>U$135/Population!AC$180</f>
        <v>0.41683708248125428</v>
      </c>
      <c r="V275" s="82">
        <f>V$135/Population!AD$180</f>
        <v>0.41846893237212496</v>
      </c>
      <c r="W275" s="82">
        <f>W$135/Population!AE$180</f>
        <v>0.42028985507246375</v>
      </c>
      <c r="X275" s="82">
        <f>X$135/Population!AF$180</f>
        <v>0.42150231399074406</v>
      </c>
      <c r="Y275" s="82">
        <f>Y$135/Population!AG$180</f>
        <v>0.42274678111587982</v>
      </c>
      <c r="Z275" s="82">
        <f>Z$135/Population!AH$180</f>
        <v>0.4241573033707865</v>
      </c>
      <c r="AA275" s="82">
        <f>AA$135/Population!AI$180</f>
        <v>0.42501727712508641</v>
      </c>
      <c r="AB275" s="82">
        <f>AB$135/Population!AJ$180</f>
        <v>0.42619542619542622</v>
      </c>
      <c r="AC275" s="82">
        <f>AC$135/Population!AK$180</f>
        <v>0.42683338965866846</v>
      </c>
      <c r="AD275" s="82">
        <f>AD$135/Population!AL$180</f>
        <v>0.42784380305602715</v>
      </c>
      <c r="AE275" s="82">
        <f>AE$135/Population!AM$180</f>
        <v>0.42852137351086195</v>
      </c>
      <c r="AF275" s="82">
        <f>AF$135/Population!AN$180</f>
        <v>0.42934196332254587</v>
      </c>
      <c r="AG275" s="82">
        <f>AG$135/Population!AO$180</f>
        <v>0.42963514519731943</v>
      </c>
      <c r="AH275" s="82">
        <f>AH$135/Population!AP$180</f>
        <v>0.43020159756561432</v>
      </c>
      <c r="AI275" s="82">
        <f>AI$135/Population!AQ$180</f>
        <v>0.43041825095057035</v>
      </c>
      <c r="AJ275" s="82">
        <f>AJ$135/Population!AR$180</f>
        <v>0.43111455108359131</v>
      </c>
      <c r="AK275" s="82">
        <f>AK$135/Population!AS$180</f>
        <v>0.43115124153498874</v>
      </c>
      <c r="AL275" s="82">
        <f>AL$135/Population!AT$180</f>
        <v>0.43157506455182587</v>
      </c>
      <c r="AM275" s="82">
        <f>AM$135/Population!AU$180</f>
        <v>0.43189964157706096</v>
      </c>
      <c r="AN275" s="82">
        <f>AN$135/Population!AV$180</f>
        <v>0.43201133144475923</v>
      </c>
      <c r="AO275" s="82">
        <f>AO$135/Population!AW$180</f>
        <v>0.43211976862878532</v>
      </c>
      <c r="AP275" s="82">
        <f>AP$135/Population!AX$180</f>
        <v>0.43219772879091517</v>
      </c>
      <c r="AQ275" s="82">
        <f>AQ$135/Population!AY$180</f>
        <v>0.43241469816272965</v>
      </c>
      <c r="AR275" s="82">
        <f>AR$135/Population!AZ$180</f>
        <v>0.43243243243243246</v>
      </c>
      <c r="AS275" s="82">
        <f>AS$135/Population!BA$180</f>
        <v>0.432383808095952</v>
      </c>
      <c r="AT275" s="82">
        <f>AT$135/Population!BB$180</f>
        <v>0.43253287592910233</v>
      </c>
      <c r="AU275" s="82">
        <f>AU$135/Population!BC$180</f>
        <v>0.43254182406907715</v>
      </c>
      <c r="AV275" s="82">
        <f>AV$135/Population!BD$180</f>
        <v>0.43263853584138284</v>
      </c>
      <c r="AW275" s="82">
        <f>AW$135/Population!BE$180</f>
        <v>0.43254352030947774</v>
      </c>
      <c r="AX275" s="82">
        <f>AX$135/Population!BF$180</f>
        <v>0.43268538516918648</v>
      </c>
      <c r="AY275" s="82">
        <f>AY$135/Population!BG$180</f>
        <v>0.4326763239135597</v>
      </c>
      <c r="AZ275" s="82">
        <f>AZ$135/Population!BH$180</f>
        <v>0.43252345441424106</v>
      </c>
      <c r="BA275" s="82">
        <f>BA$135/Population!BI$180</f>
        <v>0.43263938741325675</v>
      </c>
      <c r="BB275" s="82">
        <f>BB$135/Population!BJ$180</f>
        <v>0.43262070622147492</v>
      </c>
      <c r="BC275" s="82">
        <f>BC$135/Population!BK$180</f>
        <v>0.43266832917705733</v>
      </c>
      <c r="BD275" s="82">
        <f>BD$135/Population!BL$180</f>
        <v>0.43270214943705221</v>
      </c>
    </row>
    <row r="276" spans="3:56" x14ac:dyDescent="0.2">
      <c r="C276" s="28">
        <v>71</v>
      </c>
      <c r="E276" s="82">
        <f>E$136/Population!M$181</f>
        <v>0.31788440567066523</v>
      </c>
      <c r="F276" s="82">
        <f>F$136/Population!N$181</f>
        <v>0.32295006871278059</v>
      </c>
      <c r="G276" s="82">
        <f>G$136/Population!O$181</f>
        <v>0.327816091954023</v>
      </c>
      <c r="H276" s="82">
        <f>H$136/Population!P$181</f>
        <v>0.33195020746887965</v>
      </c>
      <c r="I276" s="82">
        <f>I$136/Population!Q$181</f>
        <v>0.33607305936073062</v>
      </c>
      <c r="J276" s="82">
        <f>J$136/Population!R$181</f>
        <v>0.34012681159420288</v>
      </c>
      <c r="K276" s="82">
        <f>K$136/Population!S$181</f>
        <v>0.34363799283154123</v>
      </c>
      <c r="L276" s="82">
        <f>L$136/Population!T$181</f>
        <v>0.34722838137472284</v>
      </c>
      <c r="M276" s="82">
        <f>M$136/Population!U$181</f>
        <v>0.35014963659683623</v>
      </c>
      <c r="N276" s="82">
        <f>N$136/Population!V$181</f>
        <v>0.35333333333333333</v>
      </c>
      <c r="O276" s="82">
        <f>O$136/Population!W$181</f>
        <v>0.35610932475884244</v>
      </c>
      <c r="P276" s="82">
        <f>P$136/Population!X$181</f>
        <v>0.35862338678138445</v>
      </c>
      <c r="Q276" s="82">
        <f>Q$136/Population!Y$181</f>
        <v>0.36068776865963265</v>
      </c>
      <c r="R276" s="82">
        <f>R$136/Population!Z$181</f>
        <v>0.36299592139414166</v>
      </c>
      <c r="S276" s="82">
        <f>S$136/Population!AA$181</f>
        <v>0.36516034985422741</v>
      </c>
      <c r="T276" s="82">
        <f>T$136/Population!AB$181</f>
        <v>0.36706629055007051</v>
      </c>
      <c r="U276" s="82">
        <f>U$136/Population!AC$181</f>
        <v>0.36860185503263482</v>
      </c>
      <c r="V276" s="82">
        <f>V$136/Population!AD$181</f>
        <v>0.37026841018582246</v>
      </c>
      <c r="W276" s="82">
        <f>W$136/Population!AE$181</f>
        <v>0.37179487179487181</v>
      </c>
      <c r="X276" s="82">
        <f>X$136/Population!AF$181</f>
        <v>0.37303851640513552</v>
      </c>
      <c r="Y276" s="82">
        <f>Y$136/Population!AG$181</f>
        <v>0.37414721723518851</v>
      </c>
      <c r="Z276" s="82">
        <f>Z$136/Population!AH$181</f>
        <v>0.37554112554112556</v>
      </c>
      <c r="AA276" s="82">
        <f>AA$136/Population!AI$181</f>
        <v>0.37628318584070797</v>
      </c>
      <c r="AB276" s="82">
        <f>AB$136/Population!AJ$181</f>
        <v>0.37722048066875652</v>
      </c>
      <c r="AC276" s="82">
        <f>AC$136/Population!AK$181</f>
        <v>0.3782745371987426</v>
      </c>
      <c r="AD276" s="82">
        <f>AD$136/Population!AL$181</f>
        <v>0.37874659400544958</v>
      </c>
      <c r="AE276" s="82">
        <f>AE$136/Population!AM$181</f>
        <v>0.37940472117687307</v>
      </c>
      <c r="AF276" s="82">
        <f>AF$136/Population!AN$181</f>
        <v>0.38002822865208186</v>
      </c>
      <c r="AG276" s="82">
        <f>AG$136/Population!AO$181</f>
        <v>0.38052136133236786</v>
      </c>
      <c r="AH276" s="82">
        <f>AH$136/Population!AP$181</f>
        <v>0.38118440779610197</v>
      </c>
      <c r="AI276" s="82">
        <f>AI$136/Population!AQ$181</f>
        <v>0.38131699846860645</v>
      </c>
      <c r="AJ276" s="82">
        <f>AJ$136/Population!AR$181</f>
        <v>0.38155376961347109</v>
      </c>
      <c r="AK276" s="82">
        <f>AK$136/Population!AS$181</f>
        <v>0.3820093457943925</v>
      </c>
      <c r="AL276" s="82">
        <f>AL$136/Population!AT$181</f>
        <v>0.38228614685844059</v>
      </c>
      <c r="AM276" s="82">
        <f>AM$136/Population!AU$181</f>
        <v>0.38241839762611274</v>
      </c>
      <c r="AN276" s="82">
        <f>AN$136/Population!AV$181</f>
        <v>0.38270270270270268</v>
      </c>
      <c r="AO276" s="82">
        <f>AO$136/Population!AW$181</f>
        <v>0.38269846920612316</v>
      </c>
      <c r="AP276" s="82">
        <f>AP$136/Population!AX$181</f>
        <v>0.38282586383852207</v>
      </c>
      <c r="AQ276" s="82">
        <f>AQ$136/Population!AY$181</f>
        <v>0.38314304902619206</v>
      </c>
      <c r="AR276" s="82">
        <f>AR$136/Population!AZ$181</f>
        <v>0.38311902406857895</v>
      </c>
      <c r="AS276" s="82">
        <f>AS$136/Population!BA$181</f>
        <v>0.38301231449321121</v>
      </c>
      <c r="AT276" s="82">
        <f>AT$136/Population!BB$181</f>
        <v>0.38313253012048193</v>
      </c>
      <c r="AU276" s="82">
        <f>AU$136/Population!BC$181</f>
        <v>0.38300315819695663</v>
      </c>
      <c r="AV276" s="82">
        <f>AV$136/Population!BD$181</f>
        <v>0.38330170777988615</v>
      </c>
      <c r="AW276" s="82">
        <f>AW$136/Population!BE$181</f>
        <v>0.38320142966556037</v>
      </c>
      <c r="AX276" s="82">
        <f>AX$136/Population!BF$181</f>
        <v>0.38319572608062163</v>
      </c>
      <c r="AY276" s="82">
        <f>AY$136/Population!BG$181</f>
        <v>0.38313253012048193</v>
      </c>
      <c r="AZ276" s="82">
        <f>AZ$136/Population!BH$181</f>
        <v>0.38331346841477948</v>
      </c>
      <c r="BA276" s="82">
        <f>BA$136/Population!BI$181</f>
        <v>0.38324076310070032</v>
      </c>
      <c r="BB276" s="82">
        <f>BB$136/Population!BJ$181</f>
        <v>0.38337737208743694</v>
      </c>
      <c r="BC276" s="82">
        <f>BC$136/Population!BK$181</f>
        <v>0.38331726133076183</v>
      </c>
      <c r="BD276" s="82">
        <f>BD$136/Population!BL$181</f>
        <v>0.3833833833833834</v>
      </c>
    </row>
    <row r="277" spans="3:56" x14ac:dyDescent="0.2">
      <c r="C277" s="28">
        <v>72</v>
      </c>
      <c r="E277" s="82">
        <f>E$137/Population!M$182</f>
        <v>0.2809384164222874</v>
      </c>
      <c r="F277" s="82">
        <f>F$137/Population!N$182</f>
        <v>0.28587257617728534</v>
      </c>
      <c r="G277" s="82">
        <f>G$137/Population!O$182</f>
        <v>0.29003724394785846</v>
      </c>
      <c r="H277" s="82">
        <f>H$137/Population!P$182</f>
        <v>0.29472209248014947</v>
      </c>
      <c r="I277" s="82">
        <f>I$137/Population!Q$182</f>
        <v>0.29836065573770493</v>
      </c>
      <c r="J277" s="82">
        <f>J$137/Population!R$182</f>
        <v>0.30241187384044527</v>
      </c>
      <c r="K277" s="82">
        <f>K$137/Population!S$182</f>
        <v>0.30574712643678159</v>
      </c>
      <c r="L277" s="82">
        <f>L$137/Population!T$182</f>
        <v>0.30923146884947705</v>
      </c>
      <c r="M277" s="82">
        <f>M$137/Population!U$182</f>
        <v>0.31219073324336483</v>
      </c>
      <c r="N277" s="82">
        <f>N$137/Population!V$182</f>
        <v>0.31526452732003468</v>
      </c>
      <c r="O277" s="82">
        <f>O$137/Population!W$182</f>
        <v>0.31798986486486486</v>
      </c>
      <c r="P277" s="82">
        <f>P$137/Population!X$182</f>
        <v>0.32043973941368076</v>
      </c>
      <c r="Q277" s="82">
        <f>Q$137/Population!Y$182</f>
        <v>0.32290015847860537</v>
      </c>
      <c r="R277" s="82">
        <f>R$137/Population!Z$182</f>
        <v>0.32489117530668776</v>
      </c>
      <c r="S277" s="82">
        <f>S$137/Population!AA$182</f>
        <v>0.32682926829268294</v>
      </c>
      <c r="T277" s="82">
        <f>T$137/Population!AB$182</f>
        <v>0.32853982300884954</v>
      </c>
      <c r="U277" s="82">
        <f>U$137/Population!AC$182</f>
        <v>0.3302425106990014</v>
      </c>
      <c r="V277" s="82">
        <f>V$137/Population!AD$182</f>
        <v>0.33205974296630775</v>
      </c>
      <c r="W277" s="82">
        <f>W$137/Population!AE$182</f>
        <v>0.3332173913043478</v>
      </c>
      <c r="X277" s="82">
        <f>X$137/Population!AF$182</f>
        <v>0.33473389355742295</v>
      </c>
      <c r="Y277" s="82">
        <f>Y$137/Population!AG$182</f>
        <v>0.33573487031700289</v>
      </c>
      <c r="Z277" s="82">
        <f>Z$137/Population!AH$182</f>
        <v>0.33696046427276027</v>
      </c>
      <c r="AA277" s="82">
        <f>AA$137/Population!AI$182</f>
        <v>0.33794610342316095</v>
      </c>
      <c r="AB277" s="82">
        <f>AB$137/Population!AJ$182</f>
        <v>0.3386923901393355</v>
      </c>
      <c r="AC277" s="82">
        <f>AC$137/Population!AK$182</f>
        <v>0.33954305799648504</v>
      </c>
      <c r="AD277" s="82">
        <f>AD$137/Population!AL$182</f>
        <v>0.34026065516026771</v>
      </c>
      <c r="AE277" s="82">
        <f>AE$137/Population!AM$182</f>
        <v>0.34065934065934067</v>
      </c>
      <c r="AF277" s="82">
        <f>AF$137/Population!AN$182</f>
        <v>0.3413793103448276</v>
      </c>
      <c r="AG277" s="82">
        <f>AG$137/Population!AO$182</f>
        <v>0.34187122020633226</v>
      </c>
      <c r="AH277" s="82">
        <f>AH$137/Population!AP$182</f>
        <v>0.3422108719445458</v>
      </c>
      <c r="AI277" s="82">
        <f>AI$137/Population!AQ$182</f>
        <v>0.34277085692714232</v>
      </c>
      <c r="AJ277" s="82">
        <f>AJ$137/Population!AR$182</f>
        <v>0.34323177786347858</v>
      </c>
      <c r="AK277" s="82">
        <f>AK$137/Population!AS$182</f>
        <v>0.34335260115606936</v>
      </c>
      <c r="AL277" s="82">
        <f>AL$137/Population!AT$182</f>
        <v>0.34339474715797724</v>
      </c>
      <c r="AM277" s="82">
        <f>AM$137/Population!AU$182</f>
        <v>0.3436190476190476</v>
      </c>
      <c r="AN277" s="82">
        <f>AN$137/Population!AV$182</f>
        <v>0.34378499440089588</v>
      </c>
      <c r="AO277" s="82">
        <f>AO$137/Population!AW$182</f>
        <v>0.3440899202320522</v>
      </c>
      <c r="AP277" s="82">
        <f>AP$137/Population!AX$182</f>
        <v>0.34419770773638969</v>
      </c>
      <c r="AQ277" s="82">
        <f>AQ$137/Population!AY$182</f>
        <v>0.34445973847212663</v>
      </c>
      <c r="AR277" s="82">
        <f>AR$137/Population!AZ$182</f>
        <v>0.34436191762322754</v>
      </c>
      <c r="AS277" s="82">
        <f>AS$137/Population!BA$182</f>
        <v>0.34449602122015915</v>
      </c>
      <c r="AT277" s="82">
        <f>AT$137/Population!BB$182</f>
        <v>0.34444444444444444</v>
      </c>
      <c r="AU277" s="82">
        <f>AU$137/Population!BC$182</f>
        <v>0.34433676559660814</v>
      </c>
      <c r="AV277" s="82">
        <f>AV$137/Population!BD$182</f>
        <v>0.34458874458874461</v>
      </c>
      <c r="AW277" s="82">
        <f>AW$137/Population!BE$182</f>
        <v>0.34459275401797873</v>
      </c>
      <c r="AX277" s="82">
        <f>AX$137/Population!BF$182</f>
        <v>0.34453565931246793</v>
      </c>
      <c r="AY277" s="82">
        <f>AY$137/Population!BG$182</f>
        <v>0.34447426201512565</v>
      </c>
      <c r="AZ277" s="82">
        <f>AZ$137/Population!BH$182</f>
        <v>0.34446865165819412</v>
      </c>
      <c r="BA277" s="82">
        <f>BA$137/Population!BI$182</f>
        <v>0.34458812260536398</v>
      </c>
      <c r="BB277" s="82">
        <f>BB$137/Population!BJ$182</f>
        <v>0.34465195246179964</v>
      </c>
      <c r="BC277" s="82">
        <f>BC$137/Population!BK$182</f>
        <v>0.34442836468885674</v>
      </c>
      <c r="BD277" s="82">
        <f>BD$137/Population!BL$182</f>
        <v>0.34462729912875123</v>
      </c>
    </row>
    <row r="278" spans="3:56" x14ac:dyDescent="0.2">
      <c r="C278" s="28">
        <v>73</v>
      </c>
      <c r="E278" s="82">
        <f>E$138/Population!M$183</f>
        <v>0.24860161591050342</v>
      </c>
      <c r="F278" s="82">
        <f>F$138/Population!N$183</f>
        <v>0.25328554360812428</v>
      </c>
      <c r="G278" s="82">
        <f>G$138/Population!O$183</f>
        <v>0.25790067720090293</v>
      </c>
      <c r="H278" s="82">
        <f>H$138/Population!P$183</f>
        <v>0.26173541963015645</v>
      </c>
      <c r="I278" s="82">
        <f>I$138/Population!Q$183</f>
        <v>0.265810746552544</v>
      </c>
      <c r="J278" s="82">
        <f>J$138/Population!R$183</f>
        <v>0.26930409914204007</v>
      </c>
      <c r="K278" s="82">
        <f>K$138/Population!S$183</f>
        <v>0.27311320754716983</v>
      </c>
      <c r="L278" s="82">
        <f>L$138/Population!T$183</f>
        <v>0.27629733520336608</v>
      </c>
      <c r="M278" s="82">
        <f>M$138/Population!U$183</f>
        <v>0.27911275415896486</v>
      </c>
      <c r="N278" s="82">
        <f>N$138/Population!V$183</f>
        <v>0.28186386477843767</v>
      </c>
      <c r="O278" s="82">
        <f>O$138/Population!W$183</f>
        <v>0.28477112676056338</v>
      </c>
      <c r="P278" s="82">
        <f>P$138/Population!X$183</f>
        <v>0.28718388341191597</v>
      </c>
      <c r="Q278" s="82">
        <f>Q$138/Population!Y$183</f>
        <v>0.28913672036348614</v>
      </c>
      <c r="R278" s="82">
        <f>R$138/Population!Z$183</f>
        <v>0.29168340699075934</v>
      </c>
      <c r="S278" s="82">
        <f>S$138/Population!AA$183</f>
        <v>0.29362214199759323</v>
      </c>
      <c r="T278" s="82">
        <f>T$138/Population!AB$183</f>
        <v>0.29505703422053231</v>
      </c>
      <c r="U278" s="82">
        <f>U$138/Population!AC$183</f>
        <v>0.29686333084391336</v>
      </c>
      <c r="V278" s="82">
        <f>V$138/Population!AD$183</f>
        <v>0.29830263633080534</v>
      </c>
      <c r="W278" s="82">
        <f>W$138/Population!AE$183</f>
        <v>0.29992967651195501</v>
      </c>
      <c r="X278" s="82">
        <f>X$138/Population!AF$183</f>
        <v>0.30095036958817317</v>
      </c>
      <c r="Y278" s="82">
        <f>Y$138/Population!AG$183</f>
        <v>0.30205382436260625</v>
      </c>
      <c r="Z278" s="82">
        <f>Z$138/Population!AH$183</f>
        <v>0.30309653916211293</v>
      </c>
      <c r="AA278" s="82">
        <f>AA$138/Population!AI$183</f>
        <v>0.30425219941348974</v>
      </c>
      <c r="AB278" s="82">
        <f>AB$138/Population!AJ$183</f>
        <v>0.30511593669488407</v>
      </c>
      <c r="AC278" s="82">
        <f>AC$138/Population!AK$183</f>
        <v>0.30577617328519857</v>
      </c>
      <c r="AD278" s="82">
        <f>AD$138/Population!AL$183</f>
        <v>0.30670926517571884</v>
      </c>
      <c r="AE278" s="82">
        <f>AE$138/Population!AM$183</f>
        <v>0.30736392742796159</v>
      </c>
      <c r="AF278" s="82">
        <f>AF$138/Population!AN$183</f>
        <v>0.30779896013864816</v>
      </c>
      <c r="AG278" s="82">
        <f>AG$138/Population!AO$183</f>
        <v>0.30838844413505045</v>
      </c>
      <c r="AH278" s="82">
        <f>AH$138/Population!AP$183</f>
        <v>0.30857552924291354</v>
      </c>
      <c r="AI278" s="82">
        <f>AI$138/Population!AQ$183</f>
        <v>0.30905077262693159</v>
      </c>
      <c r="AJ278" s="82">
        <f>AJ$138/Population!AR$183</f>
        <v>0.30909783022459081</v>
      </c>
      <c r="AK278" s="82">
        <f>AK$138/Population!AS$183</f>
        <v>0.30936649825106877</v>
      </c>
      <c r="AL278" s="82">
        <f>AL$138/Population!AT$183</f>
        <v>0.30990291262135922</v>
      </c>
      <c r="AM278" s="82">
        <f>AM$138/Population!AU$183</f>
        <v>0.3100315955766193</v>
      </c>
      <c r="AN278" s="82">
        <f>AN$138/Population!AV$183</f>
        <v>0.31005372217958554</v>
      </c>
      <c r="AO278" s="82">
        <f>AO$138/Population!AW$183</f>
        <v>0.31015037593984962</v>
      </c>
      <c r="AP278" s="82">
        <f>AP$138/Population!AX$183</f>
        <v>0.31033223804308141</v>
      </c>
      <c r="AQ278" s="82">
        <f>AQ$138/Population!AY$183</f>
        <v>0.31038211968276858</v>
      </c>
      <c r="AR278" s="82">
        <f>AR$138/Population!AZ$183</f>
        <v>0.31059556786703602</v>
      </c>
      <c r="AS278" s="82">
        <f>AS$138/Population!BA$183</f>
        <v>0.31056744818212706</v>
      </c>
      <c r="AT278" s="82">
        <f>AT$138/Population!BB$183</f>
        <v>0.31064397731064397</v>
      </c>
      <c r="AU278" s="82">
        <f>AU$138/Population!BC$183</f>
        <v>0.31066411238825031</v>
      </c>
      <c r="AV278" s="82">
        <f>AV$138/Population!BD$183</f>
        <v>0.31069144075540667</v>
      </c>
      <c r="AW278" s="82">
        <f>AW$138/Population!BE$183</f>
        <v>0.31088534107402033</v>
      </c>
      <c r="AX278" s="82">
        <f>AX$138/Population!BF$183</f>
        <v>0.31087373322377432</v>
      </c>
      <c r="AY278" s="82">
        <f>AY$138/Population!BG$183</f>
        <v>0.31080732525148308</v>
      </c>
      <c r="AZ278" s="82">
        <f>AZ$138/Population!BH$183</f>
        <v>0.3106915154487494</v>
      </c>
      <c r="BA278" s="82">
        <f>BA$138/Population!BI$183</f>
        <v>0.31070559610705595</v>
      </c>
      <c r="BB278" s="82">
        <f>BB$138/Population!BJ$183</f>
        <v>0.31087584215591918</v>
      </c>
      <c r="BC278" s="82">
        <f>BC$138/Population!BK$183</f>
        <v>0.31067251461988304</v>
      </c>
      <c r="BD278" s="82">
        <f>BD$138/Population!BL$183</f>
        <v>0.31087957354010176</v>
      </c>
    </row>
    <row r="279" spans="3:56" x14ac:dyDescent="0.2">
      <c r="C279" s="28">
        <v>74</v>
      </c>
      <c r="E279" s="82">
        <f>E$139/Population!M$184</f>
        <v>0.21895190236898779</v>
      </c>
      <c r="F279" s="82">
        <f>F$139/Population!N$184</f>
        <v>0.2233502538071066</v>
      </c>
      <c r="G279" s="82">
        <f>G$139/Population!O$184</f>
        <v>0.22804878048780489</v>
      </c>
      <c r="H279" s="82">
        <f>H$139/Population!P$184</f>
        <v>0.23200921128382268</v>
      </c>
      <c r="I279" s="82">
        <f>I$139/Population!Q$184</f>
        <v>0.23560716013546201</v>
      </c>
      <c r="J279" s="82">
        <f>J$139/Population!R$184</f>
        <v>0.2390882638215325</v>
      </c>
      <c r="K279" s="82">
        <f>K$139/Population!S$184</f>
        <v>0.24246841593780369</v>
      </c>
      <c r="L279" s="82">
        <f>L$139/Population!T$184</f>
        <v>0.24567307692307691</v>
      </c>
      <c r="M279" s="82">
        <f>M$139/Population!U$184</f>
        <v>0.24857142857142858</v>
      </c>
      <c r="N279" s="82">
        <f>N$139/Population!V$184</f>
        <v>0.25164628410159923</v>
      </c>
      <c r="O279" s="82">
        <f>O$139/Population!W$184</f>
        <v>0.254182156133829</v>
      </c>
      <c r="P279" s="82">
        <f>P$139/Population!X$184</f>
        <v>0.25649059982094896</v>
      </c>
      <c r="Q279" s="82">
        <f>Q$139/Population!Y$184</f>
        <v>0.25871080139372821</v>
      </c>
      <c r="R279" s="82">
        <f>R$139/Population!Z$184</f>
        <v>0.26059588753671842</v>
      </c>
      <c r="S279" s="82">
        <f>S$139/Population!AA$184</f>
        <v>0.262749898000816</v>
      </c>
      <c r="T279" s="82">
        <f>T$139/Population!AB$184</f>
        <v>0.26425081433224756</v>
      </c>
      <c r="U279" s="82">
        <f>U$139/Population!AC$184</f>
        <v>0.26581790123456789</v>
      </c>
      <c r="V279" s="82">
        <f>V$139/Population!AD$184</f>
        <v>0.2674242424242424</v>
      </c>
      <c r="W279" s="82">
        <f>W$139/Population!AE$184</f>
        <v>0.26876601977297693</v>
      </c>
      <c r="X279" s="82">
        <f>X$139/Population!AF$184</f>
        <v>0.27003918774492341</v>
      </c>
      <c r="Y279" s="82">
        <f>Y$139/Population!AG$184</f>
        <v>0.27094474153297682</v>
      </c>
      <c r="Z279" s="82">
        <f>Z$139/Population!AH$184</f>
        <v>0.27223816355810615</v>
      </c>
      <c r="AA279" s="82">
        <f>AA$139/Population!AI$184</f>
        <v>0.27286135693215341</v>
      </c>
      <c r="AB279" s="82">
        <f>AB$139/Population!AJ$184</f>
        <v>0.27373887240356082</v>
      </c>
      <c r="AC279" s="82">
        <f>AC$139/Population!AK$184</f>
        <v>0.27475800446760984</v>
      </c>
      <c r="AD279" s="82">
        <f>AD$139/Population!AL$184</f>
        <v>0.27528294998174518</v>
      </c>
      <c r="AE279" s="82">
        <f>AE$139/Population!AM$184</f>
        <v>0.27592393254395409</v>
      </c>
      <c r="AF279" s="82">
        <f>AF$139/Population!AN$184</f>
        <v>0.27641984184040258</v>
      </c>
      <c r="AG279" s="82">
        <f>AG$139/Population!AO$184</f>
        <v>0.27670753064798598</v>
      </c>
      <c r="AH279" s="82">
        <f>AH$139/Population!AP$184</f>
        <v>0.27732864674868191</v>
      </c>
      <c r="AI279" s="82">
        <f>AI$139/Population!AQ$184</f>
        <v>0.27753623188405796</v>
      </c>
      <c r="AJ279" s="82">
        <f>AJ$139/Population!AR$184</f>
        <v>0.27786032689450224</v>
      </c>
      <c r="AK279" s="82">
        <f>AK$139/Population!AS$184</f>
        <v>0.27814060699193238</v>
      </c>
      <c r="AL279" s="82">
        <f>AL$139/Population!AT$184</f>
        <v>0.27843137254901962</v>
      </c>
      <c r="AM279" s="82">
        <f>AM$139/Population!AU$184</f>
        <v>0.27849588719153939</v>
      </c>
      <c r="AN279" s="82">
        <f>AN$139/Population!AV$184</f>
        <v>0.27877339705296694</v>
      </c>
      <c r="AO279" s="82">
        <f>AO$139/Population!AW$184</f>
        <v>0.27891682785299804</v>
      </c>
      <c r="AP279" s="82">
        <f>AP$139/Population!AX$184</f>
        <v>0.2788935202728306</v>
      </c>
      <c r="AQ279" s="82">
        <f>AQ$139/Population!AY$184</f>
        <v>0.27924944812362029</v>
      </c>
      <c r="AR279" s="82">
        <f>AR$139/Population!AZ$184</f>
        <v>0.27933163821285872</v>
      </c>
      <c r="AS279" s="82">
        <f>AS$139/Population!BA$184</f>
        <v>0.27938611789326823</v>
      </c>
      <c r="AT279" s="82">
        <f>AT$139/Population!BB$184</f>
        <v>0.27926078028747431</v>
      </c>
      <c r="AU279" s="82">
        <f>AU$139/Population!BC$184</f>
        <v>0.27947598253275108</v>
      </c>
      <c r="AV279" s="82">
        <f>AV$139/Population!BD$184</f>
        <v>0.27933140469302475</v>
      </c>
      <c r="AW279" s="82">
        <f>AW$139/Population!BE$184</f>
        <v>0.27927651747394239</v>
      </c>
      <c r="AX279" s="82">
        <f>AX$139/Population!BF$184</f>
        <v>0.27949766355140188</v>
      </c>
      <c r="AY279" s="82">
        <f>AY$139/Population!BG$184</f>
        <v>0.2794158170294847</v>
      </c>
      <c r="AZ279" s="82">
        <f>AZ$139/Population!BH$184</f>
        <v>0.27944992215879605</v>
      </c>
      <c r="BA279" s="82">
        <f>BA$139/Population!BI$184</f>
        <v>0.27947705969412928</v>
      </c>
      <c r="BB279" s="82">
        <f>BB$139/Population!BJ$184</f>
        <v>0.27942255933447518</v>
      </c>
      <c r="BC279" s="82">
        <f>BC$139/Population!BK$184</f>
        <v>0.2794580208081297</v>
      </c>
      <c r="BD279" s="82">
        <f>BD$139/Population!BL$184</f>
        <v>0.27927486526212641</v>
      </c>
    </row>
    <row r="280" spans="3:56" x14ac:dyDescent="0.2">
      <c r="C280" s="28">
        <v>75</v>
      </c>
      <c r="E280" s="82">
        <f>E$140/Population!M$185</f>
        <v>0.19279519679786525</v>
      </c>
      <c r="F280" s="82">
        <f>F$140/Population!N$185</f>
        <v>0.19705882352941176</v>
      </c>
      <c r="G280" s="82">
        <f>G$140/Population!O$185</f>
        <v>0.2014294996751137</v>
      </c>
      <c r="H280" s="82">
        <f>H$140/Population!P$185</f>
        <v>0.20524017467248909</v>
      </c>
      <c r="I280" s="82">
        <f>I$140/Population!Q$185</f>
        <v>0.20906949352179033</v>
      </c>
      <c r="J280" s="82">
        <f>J$140/Population!R$185</f>
        <v>0.21266073194856577</v>
      </c>
      <c r="K280" s="82">
        <f>K$140/Population!S$185</f>
        <v>0.2155599603567889</v>
      </c>
      <c r="L280" s="82">
        <f>L$140/Population!T$185</f>
        <v>0.21885856079404467</v>
      </c>
      <c r="M280" s="82">
        <f>M$140/Population!U$185</f>
        <v>0.22178606476938176</v>
      </c>
      <c r="N280" s="82">
        <f>N$140/Population!V$185</f>
        <v>0.22438076736279747</v>
      </c>
      <c r="O280" s="82">
        <f>O$140/Population!W$185</f>
        <v>0.2267497603068073</v>
      </c>
      <c r="P280" s="82">
        <f>P$140/Population!X$185</f>
        <v>0.22916666666666666</v>
      </c>
      <c r="Q280" s="82">
        <f>Q$140/Population!Y$185</f>
        <v>0.23108477666362809</v>
      </c>
      <c r="R280" s="82">
        <f>R$140/Population!Z$185</f>
        <v>0.23325942350332593</v>
      </c>
      <c r="S280" s="82">
        <f>S$140/Population!AA$185</f>
        <v>0.23484201537147736</v>
      </c>
      <c r="T280" s="82">
        <f>T$140/Population!AB$185</f>
        <v>0.23651452282157676</v>
      </c>
      <c r="U280" s="82">
        <f>U$140/Population!AC$185</f>
        <v>0.23789822093504345</v>
      </c>
      <c r="V280" s="82">
        <f>V$140/Population!AD$185</f>
        <v>0.23951391611132888</v>
      </c>
      <c r="W280" s="82">
        <f>W$140/Population!AE$185</f>
        <v>0.24086186994998077</v>
      </c>
      <c r="X280" s="82">
        <f>X$140/Population!AF$185</f>
        <v>0.24200743494423793</v>
      </c>
      <c r="Y280" s="82">
        <f>Y$140/Population!AG$185</f>
        <v>0.24295010845986983</v>
      </c>
      <c r="Z280" s="82">
        <f>Z$140/Population!AH$185</f>
        <v>0.24412296564195299</v>
      </c>
      <c r="AA280" s="82">
        <f>AA$140/Population!AI$185</f>
        <v>0.24509090909090908</v>
      </c>
      <c r="AB280" s="82">
        <f>AB$140/Population!AJ$185</f>
        <v>0.24598130841121496</v>
      </c>
      <c r="AC280" s="82">
        <f>AC$140/Population!AK$185</f>
        <v>0.24652386320931979</v>
      </c>
      <c r="AD280" s="82">
        <f>AD$140/Population!AL$185</f>
        <v>0.24698340874811464</v>
      </c>
      <c r="AE280" s="82">
        <f>AE$140/Population!AM$185</f>
        <v>0.24759793052475979</v>
      </c>
      <c r="AF280" s="82">
        <f>AF$140/Population!AN$185</f>
        <v>0.24809298946603706</v>
      </c>
      <c r="AG280" s="82">
        <f>AG$140/Population!AO$185</f>
        <v>0.24881775190978539</v>
      </c>
      <c r="AH280" s="82">
        <f>AH$140/Population!AP$185</f>
        <v>0.24902585901523203</v>
      </c>
      <c r="AI280" s="82">
        <f>AI$140/Population!AQ$185</f>
        <v>0.2495556345538571</v>
      </c>
      <c r="AJ280" s="82">
        <f>AJ$140/Population!AR$185</f>
        <v>0.24981684981684982</v>
      </c>
      <c r="AK280" s="82">
        <f>AK$140/Population!AS$185</f>
        <v>0.25</v>
      </c>
      <c r="AL280" s="82">
        <f>AL$140/Population!AT$185</f>
        <v>0.25029103608847497</v>
      </c>
      <c r="AM280" s="82">
        <f>AM$140/Population!AU$185</f>
        <v>0.2502970297029703</v>
      </c>
      <c r="AN280" s="82">
        <f>AN$140/Population!AV$185</f>
        <v>0.25069197311190194</v>
      </c>
      <c r="AO280" s="82">
        <f>AO$140/Population!AW$185</f>
        <v>0.25080385852090031</v>
      </c>
      <c r="AP280" s="82">
        <f>AP$140/Population!AX$185</f>
        <v>0.2506833268254588</v>
      </c>
      <c r="AQ280" s="82">
        <f>AQ$140/Population!AY$185</f>
        <v>0.25076452599388377</v>
      </c>
      <c r="AR280" s="82">
        <f>AR$140/Population!AZ$185</f>
        <v>0.250834879406308</v>
      </c>
      <c r="AS280" s="82">
        <f>AS$140/Population!BA$185</f>
        <v>0.25082387403881362</v>
      </c>
      <c r="AT280" s="82">
        <f>AT$140/Population!BB$185</f>
        <v>0.25105485232067509</v>
      </c>
      <c r="AU280" s="82">
        <f>AU$140/Population!BC$185</f>
        <v>0.25112107623318386</v>
      </c>
      <c r="AV280" s="82">
        <f>AV$140/Population!BD$185</f>
        <v>0.25109983079526227</v>
      </c>
      <c r="AW280" s="82">
        <f>AW$140/Population!BE$185</f>
        <v>0.25097150259067358</v>
      </c>
      <c r="AX280" s="82">
        <f>AX$140/Population!BF$185</f>
        <v>0.25108091414453365</v>
      </c>
      <c r="AY280" s="82">
        <f>AY$140/Population!BG$185</f>
        <v>0.25117647058823528</v>
      </c>
      <c r="AZ280" s="82">
        <f>AZ$140/Population!BH$185</f>
        <v>0.25110987791342954</v>
      </c>
      <c r="BA280" s="82">
        <f>BA$140/Population!BI$185</f>
        <v>0.25097936798119613</v>
      </c>
      <c r="BB280" s="82">
        <f>BB$140/Population!BJ$185</f>
        <v>0.25099304865938432</v>
      </c>
      <c r="BC280" s="82">
        <f>BC$140/Population!BK$185</f>
        <v>0.25116966264466878</v>
      </c>
      <c r="BD280" s="82">
        <f>BD$140/Population!BL$185</f>
        <v>0.25121713729308665</v>
      </c>
    </row>
    <row r="281" spans="3:56" x14ac:dyDescent="0.2">
      <c r="C281" s="28">
        <v>76</v>
      </c>
      <c r="E281" s="82">
        <f>E$141/Population!M$186</f>
        <v>0.17110799438990182</v>
      </c>
      <c r="F281" s="82">
        <f>F$141/Population!N$186</f>
        <v>0.17534246575342466</v>
      </c>
      <c r="G281" s="82">
        <f>G$141/Population!O$186</f>
        <v>0.17962264150943397</v>
      </c>
      <c r="H281" s="82">
        <f>H$141/Population!P$186</f>
        <v>0.18333333333333332</v>
      </c>
      <c r="I281" s="82">
        <f>I$141/Population!Q$186</f>
        <v>0.18682021753039027</v>
      </c>
      <c r="J281" s="82">
        <f>J$141/Population!R$186</f>
        <v>0.19021739130434784</v>
      </c>
      <c r="K281" s="82">
        <f>K$141/Population!S$186</f>
        <v>0.19310694374049669</v>
      </c>
      <c r="L281" s="82">
        <f>L$141/Population!T$186</f>
        <v>0.19583967529173008</v>
      </c>
      <c r="M281" s="82">
        <f>M$141/Population!U$186</f>
        <v>0.19908583037074656</v>
      </c>
      <c r="N281" s="82">
        <f>N$141/Population!V$186</f>
        <v>0.20120421475163069</v>
      </c>
      <c r="O281" s="82">
        <f>O$141/Population!W$186</f>
        <v>0.20397022332506204</v>
      </c>
      <c r="P281" s="82">
        <f>P$141/Population!X$186</f>
        <v>0.20617042115572967</v>
      </c>
      <c r="Q281" s="82">
        <f>Q$141/Population!Y$186</f>
        <v>0.20782986950217497</v>
      </c>
      <c r="R281" s="82">
        <f>R$141/Population!Z$186</f>
        <v>0.20976744186046511</v>
      </c>
      <c r="S281" s="82">
        <f>S$141/Population!AA$186</f>
        <v>0.2115732368896926</v>
      </c>
      <c r="T281" s="82">
        <f>T$141/Population!AB$186</f>
        <v>0.21332172398781019</v>
      </c>
      <c r="U281" s="82">
        <f>U$141/Population!AC$186</f>
        <v>0.21470836855452241</v>
      </c>
      <c r="V281" s="82">
        <f>V$141/Population!AD$186</f>
        <v>0.21618204804045513</v>
      </c>
      <c r="W281" s="82">
        <f>W$141/Population!AE$186</f>
        <v>0.21747805267358339</v>
      </c>
      <c r="X281" s="82">
        <f>X$141/Population!AF$186</f>
        <v>0.21878669275929549</v>
      </c>
      <c r="Y281" s="82">
        <f>Y$141/Population!AG$186</f>
        <v>0.21957671957671956</v>
      </c>
      <c r="Z281" s="82">
        <f>Z$141/Population!AH$186</f>
        <v>0.22087467842704889</v>
      </c>
      <c r="AA281" s="82">
        <f>AA$141/Population!AI$186</f>
        <v>0.22152828802351213</v>
      </c>
      <c r="AB281" s="82">
        <f>AB$141/Population!AJ$186</f>
        <v>0.2223042836041359</v>
      </c>
      <c r="AC281" s="82">
        <f>AC$141/Population!AK$186</f>
        <v>0.22306525037936267</v>
      </c>
      <c r="AD281" s="82">
        <f>AD$141/Population!AL$186</f>
        <v>0.22349351639969489</v>
      </c>
      <c r="AE281" s="82">
        <f>AE$141/Population!AM$186</f>
        <v>0.22409177820267687</v>
      </c>
      <c r="AF281" s="82">
        <f>AF$141/Population!AN$186</f>
        <v>0.22480329711502436</v>
      </c>
      <c r="AG281" s="82">
        <f>AG$141/Population!AO$186</f>
        <v>0.22524843577475157</v>
      </c>
      <c r="AH281" s="82">
        <f>AH$141/Population!AP$186</f>
        <v>0.22549742078113486</v>
      </c>
      <c r="AI281" s="82">
        <f>AI$141/Population!AQ$186</f>
        <v>0.22604951560818085</v>
      </c>
      <c r="AJ281" s="82">
        <f>AJ$141/Population!AR$186</f>
        <v>0.22598056854983808</v>
      </c>
      <c r="AK281" s="82">
        <f>AK$141/Population!AS$186</f>
        <v>0.22646404744255003</v>
      </c>
      <c r="AL281" s="82">
        <f>AL$141/Population!AT$186</f>
        <v>0.22665148063781321</v>
      </c>
      <c r="AM281" s="82">
        <f>AM$141/Population!AU$186</f>
        <v>0.22684458398744112</v>
      </c>
      <c r="AN281" s="82">
        <f>AN$141/Population!AV$186</f>
        <v>0.22698158526821458</v>
      </c>
      <c r="AO281" s="82">
        <f>AO$141/Population!AW$186</f>
        <v>0.2270183852917666</v>
      </c>
      <c r="AP281" s="82">
        <f>AP$141/Population!AX$186</f>
        <v>0.22705117790414298</v>
      </c>
      <c r="AQ281" s="82">
        <f>AQ$141/Population!AY$186</f>
        <v>0.22712933753943218</v>
      </c>
      <c r="AR281" s="82">
        <f>AR$141/Population!AZ$186</f>
        <v>0.22741312741312741</v>
      </c>
      <c r="AS281" s="82">
        <f>AS$141/Population!BA$186</f>
        <v>0.22742600224803297</v>
      </c>
      <c r="AT281" s="82">
        <f>AT$141/Population!BB$186</f>
        <v>0.22735674676524953</v>
      </c>
      <c r="AU281" s="82">
        <f>AU$141/Population!BC$186</f>
        <v>0.22746628814762243</v>
      </c>
      <c r="AV281" s="82">
        <f>AV$141/Population!BD$186</f>
        <v>0.22755741127348644</v>
      </c>
      <c r="AW281" s="82">
        <f>AW$141/Population!BE$186</f>
        <v>0.22738135882553773</v>
      </c>
      <c r="AX281" s="82">
        <f>AX$141/Population!BF$186</f>
        <v>0.22762900065316785</v>
      </c>
      <c r="AY281" s="82">
        <f>AY$141/Population!BG$186</f>
        <v>0.22758405977584059</v>
      </c>
      <c r="AZ281" s="82">
        <f>AZ$141/Population!BH$186</f>
        <v>0.22739401126593536</v>
      </c>
      <c r="BA281" s="82">
        <f>BA$141/Population!BI$186</f>
        <v>0.22762863534675615</v>
      </c>
      <c r="BB281" s="82">
        <f>BB$141/Population!BJ$186</f>
        <v>0.22763157894736843</v>
      </c>
      <c r="BC281" s="82">
        <f>BC$141/Population!BK$186</f>
        <v>0.22755688922230558</v>
      </c>
      <c r="BD281" s="82">
        <f>BD$141/Population!BL$186</f>
        <v>0.22737416315397968</v>
      </c>
    </row>
    <row r="282" spans="3:56" x14ac:dyDescent="0.2">
      <c r="C282" s="28">
        <v>77</v>
      </c>
      <c r="E282" s="82">
        <f>E$142/Population!M$187</f>
        <v>0.1513975155279503</v>
      </c>
      <c r="F282" s="82">
        <f>F$142/Population!N$187</f>
        <v>0.1554591467823572</v>
      </c>
      <c r="G282" s="82">
        <f>G$142/Population!O$187</f>
        <v>0.15949188426252647</v>
      </c>
      <c r="H282" s="82">
        <f>H$142/Population!P$187</f>
        <v>0.16317016317016317</v>
      </c>
      <c r="I282" s="82">
        <f>I$142/Population!Q$187</f>
        <v>0.16666666666666666</v>
      </c>
      <c r="J282" s="82">
        <f>J$142/Population!R$187</f>
        <v>0.17050691244239632</v>
      </c>
      <c r="K282" s="82">
        <f>K$142/Population!S$187</f>
        <v>0.17318435754189945</v>
      </c>
      <c r="L282" s="82">
        <f>L$142/Population!T$187</f>
        <v>0.17595002602811036</v>
      </c>
      <c r="M282" s="82">
        <f>M$142/Population!U$187</f>
        <v>0.17864583333333334</v>
      </c>
      <c r="N282" s="82">
        <f>N$142/Population!V$187</f>
        <v>0.18124999999999999</v>
      </c>
      <c r="O282" s="82">
        <f>O$142/Population!W$187</f>
        <v>0.18364197530864199</v>
      </c>
      <c r="P282" s="82">
        <f>P$142/Population!X$187</f>
        <v>0.18607015760040671</v>
      </c>
      <c r="Q282" s="82">
        <f>Q$142/Population!Y$187</f>
        <v>0.18806419257773319</v>
      </c>
      <c r="R282" s="82">
        <f>R$142/Population!Z$187</f>
        <v>0.18991097922848665</v>
      </c>
      <c r="S282" s="82">
        <f>S$142/Population!AA$187</f>
        <v>0.19172216936251191</v>
      </c>
      <c r="T282" s="82">
        <f>T$142/Population!AB$187</f>
        <v>0.19316081330868762</v>
      </c>
      <c r="U282" s="82">
        <f>U$142/Population!AC$187</f>
        <v>0.19475322365495776</v>
      </c>
      <c r="V282" s="82">
        <f>V$142/Population!AD$187</f>
        <v>0.19585849870578084</v>
      </c>
      <c r="W282" s="82">
        <f>W$142/Population!AE$187</f>
        <v>0.19733447979363714</v>
      </c>
      <c r="X282" s="82">
        <f>X$142/Population!AF$187</f>
        <v>0.19812855980471927</v>
      </c>
      <c r="Y282" s="82">
        <f>Y$142/Population!AG$187</f>
        <v>0.1994415636218588</v>
      </c>
      <c r="Z282" s="82">
        <f>Z$142/Population!AH$187</f>
        <v>0.20023103581055063</v>
      </c>
      <c r="AA282" s="82">
        <f>AA$142/Population!AI$187</f>
        <v>0.20134730538922155</v>
      </c>
      <c r="AB282" s="82">
        <f>AB$142/Population!AJ$187</f>
        <v>0.20194465220643232</v>
      </c>
      <c r="AC282" s="82">
        <f>AC$142/Population!AK$187</f>
        <v>0.2024793388429752</v>
      </c>
      <c r="AD282" s="82">
        <f>AD$142/Population!AL$187</f>
        <v>0.20331790123456789</v>
      </c>
      <c r="AE282" s="82">
        <f>AE$142/Population!AM$187</f>
        <v>0.20387596899224805</v>
      </c>
      <c r="AF282" s="82">
        <f>AF$142/Population!AN$187</f>
        <v>0.20435120435120435</v>
      </c>
      <c r="AG282" s="82">
        <f>AG$142/Population!AO$187</f>
        <v>0.20471841704718416</v>
      </c>
      <c r="AH282" s="82">
        <f>AH$142/Population!AP$187</f>
        <v>0.20515695067264575</v>
      </c>
      <c r="AI282" s="82">
        <f>AI$142/Population!AQ$187</f>
        <v>0.20523364485981307</v>
      </c>
      <c r="AJ282" s="82">
        <f>AJ$142/Population!AR$187</f>
        <v>0.20560407569141192</v>
      </c>
      <c r="AK282" s="82">
        <f>AK$142/Population!AS$187</f>
        <v>0.20576431959138999</v>
      </c>
      <c r="AL282" s="82">
        <f>AL$142/Population!AT$187</f>
        <v>0.2062359128474831</v>
      </c>
      <c r="AM282" s="82">
        <f>AM$142/Population!AU$187</f>
        <v>0.20615384615384616</v>
      </c>
      <c r="AN282" s="82">
        <f>AN$142/Population!AV$187</f>
        <v>0.20627980922098568</v>
      </c>
      <c r="AO282" s="82">
        <f>AO$142/Population!AW$187</f>
        <v>0.20672882042967167</v>
      </c>
      <c r="AP282" s="82">
        <f>AP$142/Population!AX$187</f>
        <v>0.20671521035598706</v>
      </c>
      <c r="AQ282" s="82">
        <f>AQ$142/Population!AY$187</f>
        <v>0.20665571076417419</v>
      </c>
      <c r="AR282" s="82">
        <f>AR$142/Population!AZ$187</f>
        <v>0.20702034303948944</v>
      </c>
      <c r="AS282" s="82">
        <f>AS$142/Population!BA$187</f>
        <v>0.2068696330991413</v>
      </c>
      <c r="AT282" s="82">
        <f>AT$142/Population!BB$187</f>
        <v>0.20673987126088603</v>
      </c>
      <c r="AU282" s="82">
        <f>AU$142/Population!BC$187</f>
        <v>0.20694807620470676</v>
      </c>
      <c r="AV282" s="82">
        <f>AV$142/Population!BD$187</f>
        <v>0.2068100358422939</v>
      </c>
      <c r="AW282" s="82">
        <f>AW$142/Population!BE$187</f>
        <v>0.20695713281799016</v>
      </c>
      <c r="AX282" s="82">
        <f>AX$142/Population!BF$187</f>
        <v>0.20716994139951742</v>
      </c>
      <c r="AY282" s="82">
        <f>AY$142/Population!BG$187</f>
        <v>0.20698747528015821</v>
      </c>
      <c r="AZ282" s="82">
        <f>AZ$142/Population!BH$187</f>
        <v>0.20703738611372918</v>
      </c>
      <c r="BA282" s="82">
        <f>BA$142/Population!BI$187</f>
        <v>0.20699970086748429</v>
      </c>
      <c r="BB282" s="82">
        <f>BB$142/Population!BJ$187</f>
        <v>0.20705218617771509</v>
      </c>
      <c r="BC282" s="82">
        <f>BC$142/Population!BK$187</f>
        <v>0.2070063694267516</v>
      </c>
      <c r="BD282" s="82">
        <f>BD$142/Population!BL$187</f>
        <v>0.20706179066834804</v>
      </c>
    </row>
    <row r="283" spans="3:56" x14ac:dyDescent="0.2">
      <c r="C283" s="28">
        <v>78</v>
      </c>
      <c r="E283" s="82">
        <f>E$143/Population!M$188</f>
        <v>0.13459801264679314</v>
      </c>
      <c r="F283" s="82">
        <f>F$143/Population!N$188</f>
        <v>0.13906752411575563</v>
      </c>
      <c r="G283" s="82">
        <f>G$143/Population!O$188</f>
        <v>0.14210919970082272</v>
      </c>
      <c r="H283" s="82">
        <f>H$143/Population!P$188</f>
        <v>0.145985401459854</v>
      </c>
      <c r="I283" s="82">
        <f>I$143/Population!Q$188</f>
        <v>0.1492776886035313</v>
      </c>
      <c r="J283" s="82">
        <f>J$143/Population!R$188</f>
        <v>0.15226628895184136</v>
      </c>
      <c r="K283" s="82">
        <f>K$143/Population!S$188</f>
        <v>0.15546503733876443</v>
      </c>
      <c r="L283" s="82">
        <f>L$143/Population!T$188</f>
        <v>0.15866922584772872</v>
      </c>
      <c r="M283" s="82">
        <f>M$143/Population!U$188</f>
        <v>0.1609442060085837</v>
      </c>
      <c r="N283" s="82">
        <f>N$143/Population!V$188</f>
        <v>0.16353887399463807</v>
      </c>
      <c r="O283" s="82">
        <f>O$143/Population!W$188</f>
        <v>0.16559485530546625</v>
      </c>
      <c r="P283" s="82">
        <f>P$143/Population!X$188</f>
        <v>0.16754756871035942</v>
      </c>
      <c r="Q283" s="82">
        <f>Q$143/Population!Y$188</f>
        <v>0.16971279373368145</v>
      </c>
      <c r="R283" s="82">
        <f>R$143/Population!Z$188</f>
        <v>0.17138445702521873</v>
      </c>
      <c r="S283" s="82">
        <f>S$143/Population!AA$188</f>
        <v>0.17300862506341957</v>
      </c>
      <c r="T283" s="82">
        <f>T$143/Population!AB$188</f>
        <v>0.17454900048756705</v>
      </c>
      <c r="U283" s="82">
        <f>U$143/Population!AC$188</f>
        <v>0.17613636363636365</v>
      </c>
      <c r="V283" s="82">
        <f>V$143/Population!AD$188</f>
        <v>0.17751479289940827</v>
      </c>
      <c r="W283" s="82">
        <f>W$143/Population!AE$188</f>
        <v>0.17880794701986755</v>
      </c>
      <c r="X283" s="82">
        <f>X$143/Population!AF$188</f>
        <v>0.17985927880386984</v>
      </c>
      <c r="Y283" s="82">
        <f>Y$143/Population!AG$188</f>
        <v>0.18094841930116473</v>
      </c>
      <c r="Z283" s="82">
        <f>Z$143/Population!AH$188</f>
        <v>0.18174409127954361</v>
      </c>
      <c r="AA283" s="82">
        <f>AA$143/Population!AI$188</f>
        <v>0.18238993710691823</v>
      </c>
      <c r="AB283" s="82">
        <f>AB$143/Population!AJ$188</f>
        <v>0.18327605956471935</v>
      </c>
      <c r="AC283" s="82">
        <f>AC$143/Population!AK$188</f>
        <v>0.18382913806254766</v>
      </c>
      <c r="AD283" s="82">
        <f>AD$143/Population!AL$188</f>
        <v>0.18460360015319802</v>
      </c>
      <c r="AE283" s="82">
        <f>AE$143/Population!AM$188</f>
        <v>0.18514150943396226</v>
      </c>
      <c r="AF283" s="82">
        <f>AF$143/Population!AN$188</f>
        <v>0.18555073035925779</v>
      </c>
      <c r="AG283" s="82">
        <f>AG$143/Population!AO$188</f>
        <v>0.18584420719652037</v>
      </c>
      <c r="AH283" s="82">
        <f>AH$143/Population!AP$188</f>
        <v>0.18621757646147891</v>
      </c>
      <c r="AI283" s="82">
        <f>AI$143/Population!AQ$188</f>
        <v>0.18662105663245915</v>
      </c>
      <c r="AJ283" s="82">
        <f>AJ$143/Population!AR$188</f>
        <v>0.18662105663245915</v>
      </c>
      <c r="AK283" s="82">
        <f>AK$143/Population!AS$188</f>
        <v>0.18713017751479291</v>
      </c>
      <c r="AL283" s="82">
        <f>AL$143/Population!AT$188</f>
        <v>0.187175685693106</v>
      </c>
      <c r="AM283" s="82">
        <f>AM$143/Population!AU$188</f>
        <v>0.18726163234172388</v>
      </c>
      <c r="AN283" s="82">
        <f>AN$143/Population!AV$188</f>
        <v>0.18742678641155799</v>
      </c>
      <c r="AO283" s="82">
        <f>AO$143/Population!AW$188</f>
        <v>0.1875</v>
      </c>
      <c r="AP283" s="82">
        <f>AP$143/Population!AX$188</f>
        <v>0.18783394985614468</v>
      </c>
      <c r="AQ283" s="82">
        <f>AQ$143/Population!AY$188</f>
        <v>0.1877818778187782</v>
      </c>
      <c r="AR283" s="82">
        <f>AR$143/Population!AZ$188</f>
        <v>0.18776019983347211</v>
      </c>
      <c r="AS283" s="82">
        <f>AS$143/Population!BA$188</f>
        <v>0.18787878787878787</v>
      </c>
      <c r="AT283" s="82">
        <f>AT$143/Population!BB$188</f>
        <v>0.18814229249011857</v>
      </c>
      <c r="AU283" s="82">
        <f>AU$143/Population!BC$188</f>
        <v>0.18788343558282208</v>
      </c>
      <c r="AV283" s="82">
        <f>AV$143/Population!BD$188</f>
        <v>0.18790170132325143</v>
      </c>
      <c r="AW283" s="82">
        <f>AW$143/Population!BE$188</f>
        <v>0.18788538266231411</v>
      </c>
      <c r="AX283" s="82">
        <f>AX$143/Population!BF$188</f>
        <v>0.18805545680767863</v>
      </c>
      <c r="AY283" s="82">
        <f>AY$143/Population!BG$188</f>
        <v>0.18821889159986058</v>
      </c>
      <c r="AZ283" s="82">
        <f>AZ$143/Population!BH$188</f>
        <v>0.18793735421526159</v>
      </c>
      <c r="BA283" s="82">
        <f>BA$143/Population!BI$188</f>
        <v>0.1879961892664338</v>
      </c>
      <c r="BB283" s="82">
        <f>BB$143/Population!BJ$188</f>
        <v>0.18797219703838017</v>
      </c>
      <c r="BC283" s="82">
        <f>BC$143/Population!BK$188</f>
        <v>0.18803418803418803</v>
      </c>
      <c r="BD283" s="82">
        <f>BD$143/Population!BL$188</f>
        <v>0.18815331010452963</v>
      </c>
    </row>
    <row r="284" spans="3:56" x14ac:dyDescent="0.2">
      <c r="C284" s="28">
        <v>79</v>
      </c>
      <c r="E284" s="82">
        <f>E$144/Population!M$189</f>
        <v>0.11988304093567251</v>
      </c>
      <c r="F284" s="82">
        <f>F$144/Population!N$189</f>
        <v>0.1231203007518797</v>
      </c>
      <c r="G284" s="82">
        <f>G$144/Population!O$189</f>
        <v>0.12698412698412698</v>
      </c>
      <c r="H284" s="82">
        <f>H$144/Population!P$189</f>
        <v>0.12975912975912976</v>
      </c>
      <c r="I284" s="82">
        <f>I$144/Population!Q$189</f>
        <v>0.13333333333333333</v>
      </c>
      <c r="J284" s="82">
        <f>J$144/Population!R$189</f>
        <v>0.13655287260616153</v>
      </c>
      <c r="K284" s="82">
        <f>K$144/Population!S$189</f>
        <v>0.13876651982378854</v>
      </c>
      <c r="L284" s="82">
        <f>L$144/Population!T$189</f>
        <v>0.14135021097046413</v>
      </c>
      <c r="M284" s="82">
        <f>M$144/Population!U$189</f>
        <v>0.14361350099272005</v>
      </c>
      <c r="N284" s="82">
        <f>N$144/Population!V$189</f>
        <v>0.14634146341463414</v>
      </c>
      <c r="O284" s="82">
        <f>O$144/Population!W$189</f>
        <v>0.14839424141749724</v>
      </c>
      <c r="P284" s="82">
        <f>P$144/Population!X$189</f>
        <v>0.15044247787610621</v>
      </c>
      <c r="Q284" s="82">
        <f>Q$144/Population!Y$189</f>
        <v>0.15212649945474374</v>
      </c>
      <c r="R284" s="82">
        <f>R$144/Population!Z$189</f>
        <v>0.15392895586652314</v>
      </c>
      <c r="S284" s="82">
        <f>S$144/Population!AA$189</f>
        <v>0.15527291997880233</v>
      </c>
      <c r="T284" s="82">
        <f>T$144/Population!AB$189</f>
        <v>0.1566579634464752</v>
      </c>
      <c r="U284" s="82">
        <f>U$144/Population!AC$189</f>
        <v>0.1579739217652959</v>
      </c>
      <c r="V284" s="82">
        <f>V$144/Population!AD$189</f>
        <v>0.15912408759124089</v>
      </c>
      <c r="W284" s="82">
        <f>W$144/Population!AE$189</f>
        <v>0.16035530621785882</v>
      </c>
      <c r="X284" s="82">
        <f>X$144/Population!AF$189</f>
        <v>0.16130493883099228</v>
      </c>
      <c r="Y284" s="82">
        <f>Y$144/Population!AG$189</f>
        <v>0.16230838593327321</v>
      </c>
      <c r="Z284" s="82">
        <f>Z$144/Population!AH$189</f>
        <v>0.16325660699062233</v>
      </c>
      <c r="AA284" s="82">
        <f>AA$144/Population!AI$189</f>
        <v>0.16402337228714525</v>
      </c>
      <c r="AB284" s="82">
        <f>AB$144/Population!AJ$189</f>
        <v>0.16465378421900162</v>
      </c>
      <c r="AC284" s="82">
        <f>AC$144/Population!AK$189</f>
        <v>0.16529894490035171</v>
      </c>
      <c r="AD284" s="82">
        <f>AD$144/Population!AL$189</f>
        <v>0.16575663026521062</v>
      </c>
      <c r="AE284" s="82">
        <f>AE$144/Population!AM$189</f>
        <v>0.16634050880626222</v>
      </c>
      <c r="AF284" s="82">
        <f>AF$144/Population!AN$189</f>
        <v>0.16666666666666666</v>
      </c>
      <c r="AG284" s="82">
        <f>AG$144/Population!AO$189</f>
        <v>0.16727126158806932</v>
      </c>
      <c r="AH284" s="82">
        <f>AH$144/Population!AP$189</f>
        <v>0.16747376916868442</v>
      </c>
      <c r="AI284" s="82">
        <f>AI$144/Population!AQ$189</f>
        <v>0.16785150078988942</v>
      </c>
      <c r="AJ284" s="82">
        <f>AJ$144/Population!AR$189</f>
        <v>0.16815187911662147</v>
      </c>
      <c r="AK284" s="82">
        <f>AK$144/Population!AS$189</f>
        <v>0.16808675445391169</v>
      </c>
      <c r="AL284" s="82">
        <f>AL$144/Population!AT$189</f>
        <v>0.16836158192090395</v>
      </c>
      <c r="AM284" s="82">
        <f>AM$144/Population!AU$189</f>
        <v>0.16861561674839684</v>
      </c>
      <c r="AN284" s="82">
        <f>AN$144/Population!AV$189</f>
        <v>0.16886645962732919</v>
      </c>
      <c r="AO284" s="82">
        <f>AO$144/Population!AW$189</f>
        <v>0.16878474980142971</v>
      </c>
      <c r="AP284" s="82">
        <f>AP$144/Population!AX$189</f>
        <v>0.16892168921689216</v>
      </c>
      <c r="AQ284" s="82">
        <f>AQ$144/Population!AY$189</f>
        <v>0.16875522138680032</v>
      </c>
      <c r="AR284" s="82">
        <f>AR$144/Population!AZ$189</f>
        <v>0.16916666666666666</v>
      </c>
      <c r="AS284" s="82">
        <f>AS$144/Population!BA$189</f>
        <v>0.16913319238900634</v>
      </c>
      <c r="AT284" s="82">
        <f>AT$144/Population!BB$189</f>
        <v>0.16899097621000819</v>
      </c>
      <c r="AU284" s="82">
        <f>AU$144/Population!BC$189</f>
        <v>0.16927396710790213</v>
      </c>
      <c r="AV284" s="82">
        <f>AV$144/Population!BD$189</f>
        <v>0.16919486581096849</v>
      </c>
      <c r="AW284" s="82">
        <f>AW$144/Population!BE$189</f>
        <v>0.16903027980068991</v>
      </c>
      <c r="AX284" s="82">
        <f>AX$144/Population!BF$189</f>
        <v>0.16911764705882354</v>
      </c>
      <c r="AY284" s="82">
        <f>AY$144/Population!BG$189</f>
        <v>0.16930835734870317</v>
      </c>
      <c r="AZ284" s="82">
        <f>AZ$144/Population!BH$189</f>
        <v>0.16913841807909605</v>
      </c>
      <c r="BA284" s="82">
        <f>BA$144/Population!BI$189</f>
        <v>0.1690853864326696</v>
      </c>
      <c r="BB284" s="82">
        <f>BB$144/Population!BJ$189</f>
        <v>0.16907746705239474</v>
      </c>
      <c r="BC284" s="82">
        <f>BC$144/Population!BK$189</f>
        <v>0.16916488222698073</v>
      </c>
      <c r="BD284" s="82">
        <f>BD$144/Population!BL$189</f>
        <v>0.16921302969155377</v>
      </c>
    </row>
    <row r="285" spans="3:56" x14ac:dyDescent="0.2">
      <c r="C285" s="28" t="s">
        <v>1165</v>
      </c>
      <c r="E285" s="82">
        <f>E$145/SUM(Population!M$190:M$200)</f>
        <v>6.7529544175576814E-2</v>
      </c>
      <c r="F285" s="82">
        <f>F$145/SUM(Population!N$190:N$200)</f>
        <v>6.9284064665127015E-2</v>
      </c>
      <c r="G285" s="82">
        <f>G$145/SUM(Population!O$190:O$200)</f>
        <v>7.2112232856955547E-2</v>
      </c>
      <c r="H285" s="82">
        <f>H$145/SUM(Population!P$190:P$200)</f>
        <v>7.5046904315197005E-2</v>
      </c>
      <c r="I285" s="82">
        <f>I$145/SUM(Population!Q$190:Q$200)</f>
        <v>7.7142178969855216E-2</v>
      </c>
      <c r="J285" s="82">
        <f>J$145/SUM(Population!R$190:R$200)</f>
        <v>8.0054121095952196E-2</v>
      </c>
      <c r="K285" s="82">
        <f>K$145/SUM(Population!S$190:S$200)</f>
        <v>8.0750763858577046E-2</v>
      </c>
      <c r="L285" s="82">
        <f>L$145/SUM(Population!T$190:T$200)</f>
        <v>8.2368887498696697E-2</v>
      </c>
      <c r="M285" s="82">
        <f>M$145/SUM(Population!U$190:U$200)</f>
        <v>8.4568699631877423E-2</v>
      </c>
      <c r="N285" s="82">
        <f>N$145/SUM(Population!V$190:V$200)</f>
        <v>8.5178875638841564E-2</v>
      </c>
      <c r="O285" s="82">
        <f>O$145/SUM(Population!W$190:W$200)</f>
        <v>8.8269044046252979E-2</v>
      </c>
      <c r="P285" s="82">
        <f>P$145/SUM(Population!X$190:X$200)</f>
        <v>8.9611682708264195E-2</v>
      </c>
      <c r="Q285" s="82">
        <f>Q$145/SUM(Population!Y$190:Y$200)</f>
        <v>9.0351979886863609E-2</v>
      </c>
      <c r="R285" s="82">
        <f>R$145/SUM(Population!Z$190:Z$200)</f>
        <v>9.1180866965620333E-2</v>
      </c>
      <c r="S285" s="82">
        <f>S$145/SUM(Population!AA$190:AA$200)</f>
        <v>9.1369833678349638E-2</v>
      </c>
      <c r="T285" s="82">
        <f>T$145/SUM(Population!AB$190:AB$200)</f>
        <v>9.1648998016551533E-2</v>
      </c>
      <c r="U285" s="82">
        <f>U$145/SUM(Population!AC$190:AC$200)</f>
        <v>9.2050759418765199E-2</v>
      </c>
      <c r="V285" s="82">
        <f>V$145/SUM(Population!AD$190:AD$200)</f>
        <v>9.2212467630897493E-2</v>
      </c>
      <c r="W285" s="82">
        <f>W$145/SUM(Population!AE$190:AE$200)</f>
        <v>9.2992159484592482E-2</v>
      </c>
      <c r="X285" s="82">
        <f>X$145/SUM(Population!AF$190:AF$200)</f>
        <v>9.2949842160645391E-2</v>
      </c>
      <c r="Y285" s="82">
        <f>Y$145/SUM(Population!AG$190:AG$200)</f>
        <v>9.3368580910062435E-2</v>
      </c>
      <c r="Z285" s="82">
        <f>Z$145/SUM(Population!AH$190:AH$200)</f>
        <v>9.3996196685683236E-2</v>
      </c>
      <c r="AA285" s="82">
        <f>AA$145/SUM(Population!AI$190:AI$200)</f>
        <v>9.4171811237836148E-2</v>
      </c>
      <c r="AB285" s="82">
        <f>AB$145/SUM(Population!AJ$190:AJ$200)</f>
        <v>9.4368187323375055E-2</v>
      </c>
      <c r="AC285" s="82">
        <f>AC$145/SUM(Population!AK$190:AK$200)</f>
        <v>9.4895128716725868E-2</v>
      </c>
      <c r="AD285" s="82">
        <f>AD$145/SUM(Population!AL$190:AL$200)</f>
        <v>9.5273853663115401E-2</v>
      </c>
      <c r="AE285" s="82">
        <f>AE$145/SUM(Population!AM$190:AM$200)</f>
        <v>9.539817380638714E-2</v>
      </c>
      <c r="AF285" s="82">
        <f>AF$145/SUM(Population!AN$190:AN$200)</f>
        <v>9.4872473744594482E-2</v>
      </c>
      <c r="AG285" s="82">
        <f>AG$145/SUM(Population!AO$190:AO$200)</f>
        <v>9.4786729857819899E-2</v>
      </c>
      <c r="AH285" s="82">
        <f>AH$145/SUM(Population!AP$190:AP$200)</f>
        <v>9.4522744535403838E-2</v>
      </c>
      <c r="AI285" s="82">
        <f>AI$145/SUM(Population!AQ$190:AQ$200)</f>
        <v>9.4077665879232455E-2</v>
      </c>
      <c r="AJ285" s="82">
        <f>AJ$145/SUM(Population!AR$190:AR$200)</f>
        <v>9.3963553530751712E-2</v>
      </c>
      <c r="AK285" s="82">
        <f>AK$145/SUM(Population!AS$190:AS$200)</f>
        <v>9.3808630393996242E-2</v>
      </c>
      <c r="AL285" s="82">
        <f>AL$145/SUM(Population!AT$190:AT$200)</f>
        <v>9.3428593860406695E-2</v>
      </c>
      <c r="AM285" s="82">
        <f>AM$145/SUM(Population!AU$190:AU$200)</f>
        <v>9.3724688548617277E-2</v>
      </c>
      <c r="AN285" s="82">
        <f>AN$145/SUM(Population!AV$190:AV$200)</f>
        <v>9.3379896750683269E-2</v>
      </c>
      <c r="AO285" s="82">
        <f>AO$145/SUM(Population!AW$190:AW$200)</f>
        <v>9.3033724725212888E-2</v>
      </c>
      <c r="AP285" s="82">
        <f>AP$145/SUM(Population!AX$190:AX$200)</f>
        <v>9.2606367152633151E-2</v>
      </c>
      <c r="AQ285" s="82">
        <f>AQ$145/SUM(Population!AY$190:AY$200)</f>
        <v>9.2174428074331821E-2</v>
      </c>
      <c r="AR285" s="82">
        <f>AR$145/SUM(Population!AZ$190:AZ$200)</f>
        <v>9.1936198493575538E-2</v>
      </c>
      <c r="AS285" s="82">
        <f>AS$145/SUM(Population!BA$190:BA$200)</f>
        <v>9.1371306462309343E-2</v>
      </c>
      <c r="AT285" s="82">
        <f>AT$145/SUM(Population!BB$190:BB$200)</f>
        <v>9.1334290870253743E-2</v>
      </c>
      <c r="AU285" s="82">
        <f>AU$145/SUM(Population!BC$190:BC$200)</f>
        <v>9.1065986119781145E-2</v>
      </c>
      <c r="AV285" s="82">
        <f>AV$145/SUM(Population!BD$190:BD$200)</f>
        <v>9.138094889977337E-2</v>
      </c>
      <c r="AW285" s="82">
        <f>AW$145/SUM(Population!BE$190:BE$200)</f>
        <v>9.14269128904691E-2</v>
      </c>
      <c r="AX285" s="82">
        <f>AX$145/SUM(Population!BF$190:BF$200)</f>
        <v>9.1723319305060974E-2</v>
      </c>
      <c r="AY285" s="82">
        <f>AY$145/SUM(Population!BG$190:BG$200)</f>
        <v>9.2013642177064092E-2</v>
      </c>
      <c r="AZ285" s="82">
        <f>AZ$145/SUM(Population!BH$190:BH$200)</f>
        <v>9.2180435315972101E-2</v>
      </c>
      <c r="BA285" s="82">
        <f>BA$145/SUM(Population!BI$190:BI$200)</f>
        <v>9.2455238555214411E-2</v>
      </c>
      <c r="BB285" s="82">
        <f>BB$145/SUM(Population!BJ$190:BJ$200)</f>
        <v>9.271792095289659E-2</v>
      </c>
      <c r="BC285" s="82">
        <f>BC$145/SUM(Population!BK$190:BK$200)</f>
        <v>9.3170780057488356E-2</v>
      </c>
      <c r="BD285" s="82">
        <f>BD$145/SUM(Population!BL$190:BL$200)</f>
        <v>9.3496979822644904E-2</v>
      </c>
    </row>
    <row r="286" spans="3:56" x14ac:dyDescent="0.2">
      <c r="C286" s="72" t="s">
        <v>1168</v>
      </c>
      <c r="E286" s="83">
        <f>E$146/SUM(Population!M$125:M$200)</f>
        <v>0.73930511874923499</v>
      </c>
      <c r="F286" s="83">
        <f>F$146/SUM(Population!N$125:N$200)</f>
        <v>0.74084289669483971</v>
      </c>
      <c r="G286" s="83">
        <f>G$146/SUM(Population!O$125:O$200)</f>
        <v>0.74180250213803245</v>
      </c>
      <c r="H286" s="83">
        <f>H$146/SUM(Population!P$125:P$200)</f>
        <v>0.7423676153873312</v>
      </c>
      <c r="I286" s="83">
        <f>I$146/SUM(Population!Q$125:Q$200)</f>
        <v>0.74222857256651265</v>
      </c>
      <c r="J286" s="83">
        <f>J$146/SUM(Population!R$125:R$200)</f>
        <v>0.74127034131070402</v>
      </c>
      <c r="K286" s="83">
        <f>K$146/SUM(Population!S$125:S$200)</f>
        <v>0.73979286558640245</v>
      </c>
      <c r="L286" s="83">
        <f>L$146/SUM(Population!T$125:T$200)</f>
        <v>0.73828207643336607</v>
      </c>
      <c r="M286" s="83">
        <f>M$146/SUM(Population!U$125:U$200)</f>
        <v>0.73671451658902942</v>
      </c>
      <c r="N286" s="83">
        <f>N$146/SUM(Population!V$125:V$200)</f>
        <v>0.73530905295229498</v>
      </c>
      <c r="O286" s="83">
        <f>O$146/SUM(Population!W$125:W$200)</f>
        <v>0.73401765398377916</v>
      </c>
      <c r="P286" s="83">
        <f>P$146/SUM(Population!X$125:X$200)</f>
        <v>0.73270683618942323</v>
      </c>
      <c r="Q286" s="83">
        <f>Q$146/SUM(Population!Y$125:Y$200)</f>
        <v>0.73156540072834808</v>
      </c>
      <c r="R286" s="83">
        <f>R$146/SUM(Population!Z$125:Z$200)</f>
        <v>0.73040049202271984</v>
      </c>
      <c r="S286" s="83">
        <f>S$146/SUM(Population!AA$125:AA$200)</f>
        <v>0.72918889357085859</v>
      </c>
      <c r="T286" s="83">
        <f>T$146/SUM(Population!AB$125:AB$200)</f>
        <v>0.72785246083768473</v>
      </c>
      <c r="U286" s="83">
        <f>U$146/SUM(Population!AC$125:AC$200)</f>
        <v>0.72640167050665871</v>
      </c>
      <c r="V286" s="83">
        <f>V$146/SUM(Population!AD$125:AD$200)</f>
        <v>0.72486211007611789</v>
      </c>
      <c r="W286" s="83">
        <f>W$146/SUM(Population!AE$125:AE$200)</f>
        <v>0.72340517651948777</v>
      </c>
      <c r="X286" s="83">
        <f>X$146/SUM(Population!AF$125:AF$200)</f>
        <v>0.72192768187925804</v>
      </c>
      <c r="Y286" s="83">
        <f>Y$146/SUM(Population!AG$125:AG$200)</f>
        <v>0.7205438516582453</v>
      </c>
      <c r="Z286" s="83">
        <f>Z$146/SUM(Population!AH$125:AH$200)</f>
        <v>0.71941802091645657</v>
      </c>
      <c r="AA286" s="83">
        <f>AA$146/SUM(Population!AI$125:AI$200)</f>
        <v>0.71831847176441521</v>
      </c>
      <c r="AB286" s="83">
        <f>AB$146/SUM(Population!AJ$125:AJ$200)</f>
        <v>0.71744831168831169</v>
      </c>
      <c r="AC286" s="83">
        <f>AC$146/SUM(Population!AK$125:AK$200)</f>
        <v>0.71680236922645413</v>
      </c>
      <c r="AD286" s="83">
        <f>AD$146/SUM(Population!AL$125:AL$200)</f>
        <v>0.71629329653545826</v>
      </c>
      <c r="AE286" s="83">
        <f>AE$146/SUM(Population!AM$125:AM$200)</f>
        <v>0.71600515600157766</v>
      </c>
      <c r="AF286" s="83">
        <f>AF$146/SUM(Population!AN$125:AN$200)</f>
        <v>0.71573280127306727</v>
      </c>
      <c r="AG286" s="83">
        <f>AG$146/SUM(Population!AO$125:AO$200)</f>
        <v>0.71558182555064664</v>
      </c>
      <c r="AH286" s="83">
        <f>AH$146/SUM(Population!AP$125:AP$200)</f>
        <v>0.71554419435626671</v>
      </c>
      <c r="AI286" s="83">
        <f>AI$146/SUM(Population!AQ$125:AQ$200)</f>
        <v>0.71553224470054666</v>
      </c>
      <c r="AJ286" s="83">
        <f>AJ$146/SUM(Population!AR$125:AR$200)</f>
        <v>0.71545702527553967</v>
      </c>
      <c r="AK286" s="83">
        <f>AK$146/SUM(Population!AS$125:AS$200)</f>
        <v>0.71525733348490961</v>
      </c>
      <c r="AL286" s="83">
        <f>AL$146/SUM(Population!AT$125:AT$200)</f>
        <v>0.71502214873970549</v>
      </c>
      <c r="AM286" s="83">
        <f>AM$146/SUM(Population!AU$125:AU$200)</f>
        <v>0.71466147328564111</v>
      </c>
      <c r="AN286" s="83">
        <f>AN$146/SUM(Population!AV$125:AV$200)</f>
        <v>0.71402267437147526</v>
      </c>
      <c r="AO286" s="83">
        <f>AO$146/SUM(Population!AW$125:AW$200)</f>
        <v>0.71317942611301044</v>
      </c>
      <c r="AP286" s="83">
        <f>AP$146/SUM(Population!AX$125:AX$200)</f>
        <v>0.71206688277928987</v>
      </c>
      <c r="AQ286" s="83">
        <f>AQ$146/SUM(Population!AY$125:AY$200)</f>
        <v>0.71072745188302033</v>
      </c>
      <c r="AR286" s="83">
        <f>AR$146/SUM(Population!AZ$125:AZ$200)</f>
        <v>0.70911727621420428</v>
      </c>
      <c r="AS286" s="83">
        <f>AS$146/SUM(Population!BA$125:BA$200)</f>
        <v>0.70720640938193635</v>
      </c>
      <c r="AT286" s="83">
        <f>AT$146/SUM(Population!BB$125:BB$200)</f>
        <v>0.70516970417574665</v>
      </c>
      <c r="AU286" s="83">
        <f>AU$146/SUM(Population!BC$125:BC$200)</f>
        <v>0.70287331220439075</v>
      </c>
      <c r="AV286" s="83">
        <f>AV$146/SUM(Population!BD$125:BD$200)</f>
        <v>0.70047036618713587</v>
      </c>
      <c r="AW286" s="83">
        <f>AW$146/SUM(Population!BE$125:BE$200)</f>
        <v>0.69791743702761466</v>
      </c>
      <c r="AX286" s="83">
        <f>AX$146/SUM(Population!BF$125:BF$200)</f>
        <v>0.69538095781365583</v>
      </c>
      <c r="AY286" s="83">
        <f>AY$146/SUM(Population!BG$125:BG$200)</f>
        <v>0.69276439886457286</v>
      </c>
      <c r="AZ286" s="83">
        <f>AZ$146/SUM(Population!BH$125:BH$200)</f>
        <v>0.69022499927090319</v>
      </c>
      <c r="BA286" s="83">
        <f>BA$146/SUM(Population!BI$125:BI$200)</f>
        <v>0.68766167096579922</v>
      </c>
      <c r="BB286" s="83">
        <f>BB$146/SUM(Population!BJ$125:BJ$200)</f>
        <v>0.6852179501993183</v>
      </c>
      <c r="BC286" s="83">
        <f>BC$146/SUM(Population!BK$125:BK$200)</f>
        <v>0.68282848610517166</v>
      </c>
      <c r="BD286" s="83">
        <f>BD$146/SUM(Population!BL$125:BL$200)</f>
        <v>0.68052505454415391</v>
      </c>
    </row>
  </sheetData>
  <hyperlinks>
    <hyperlink ref="H2" r:id="rId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54"/>
  <sheetViews>
    <sheetView zoomScaleNormal="100" workbookViewId="0">
      <pane xSplit="1" ySplit="5" topLeftCell="B17" activePane="bottomRight" state="frozen"/>
      <selection pane="topRight" activeCell="B1" sqref="B1"/>
      <selection pane="bottomLeft" activeCell="A6" sqref="A6"/>
      <selection pane="bottomRight" activeCell="T42" sqref="T42"/>
    </sheetView>
  </sheetViews>
  <sheetFormatPr defaultRowHeight="12.75" x14ac:dyDescent="0.2"/>
  <cols>
    <col min="1" max="1" width="60.7109375" style="28" customWidth="1"/>
    <col min="2" max="28" width="10.7109375" style="28" customWidth="1"/>
    <col min="29" max="16384" width="9.140625" style="28"/>
  </cols>
  <sheetData>
    <row r="1" spans="1:28" x14ac:dyDescent="0.2">
      <c r="A1" s="72" t="s">
        <v>81</v>
      </c>
    </row>
    <row r="2" spans="1:28" x14ac:dyDescent="0.2">
      <c r="A2" s="68" t="s">
        <v>847</v>
      </c>
    </row>
    <row r="4" spans="1:28" x14ac:dyDescent="0.2">
      <c r="A4" s="72" t="s">
        <v>11</v>
      </c>
      <c r="B4" s="75" t="s">
        <v>12</v>
      </c>
      <c r="C4" s="75" t="s">
        <v>13</v>
      </c>
      <c r="D4" s="75" t="s">
        <v>14</v>
      </c>
      <c r="E4" s="75" t="s">
        <v>15</v>
      </c>
      <c r="F4" s="75" t="s">
        <v>17</v>
      </c>
      <c r="G4" s="75" t="s">
        <v>16</v>
      </c>
      <c r="H4" s="75" t="s">
        <v>18</v>
      </c>
      <c r="I4" s="75" t="s">
        <v>19</v>
      </c>
      <c r="J4" s="75" t="s">
        <v>20</v>
      </c>
      <c r="K4" s="75" t="s">
        <v>21</v>
      </c>
      <c r="L4" s="75" t="s">
        <v>23</v>
      </c>
      <c r="M4" s="75" t="s">
        <v>24</v>
      </c>
      <c r="N4" s="75" t="s">
        <v>25</v>
      </c>
      <c r="O4" s="75" t="s">
        <v>26</v>
      </c>
      <c r="P4" s="75" t="s">
        <v>27</v>
      </c>
      <c r="Q4" s="75" t="s">
        <v>28</v>
      </c>
      <c r="R4" s="75" t="s">
        <v>29</v>
      </c>
      <c r="S4" s="75" t="s">
        <v>30</v>
      </c>
      <c r="T4" s="75" t="s">
        <v>31</v>
      </c>
      <c r="U4" s="75" t="s">
        <v>32</v>
      </c>
      <c r="V4" s="75" t="s">
        <v>33</v>
      </c>
      <c r="W4" s="75" t="s">
        <v>34</v>
      </c>
      <c r="X4" s="75" t="s">
        <v>35</v>
      </c>
      <c r="Y4" s="75" t="s">
        <v>36</v>
      </c>
      <c r="Z4" s="75" t="s">
        <v>37</v>
      </c>
      <c r="AA4" s="75" t="s">
        <v>38</v>
      </c>
      <c r="AB4" s="75" t="s">
        <v>39</v>
      </c>
    </row>
    <row r="5" spans="1:28" x14ac:dyDescent="0.2">
      <c r="B5" s="72">
        <v>2006</v>
      </c>
      <c r="C5" s="72">
        <v>2007</v>
      </c>
      <c r="D5" s="72">
        <v>2008</v>
      </c>
      <c r="E5" s="72">
        <v>2009</v>
      </c>
      <c r="F5" s="72">
        <v>2010</v>
      </c>
      <c r="G5" s="72">
        <v>2011</v>
      </c>
      <c r="H5" s="72">
        <v>2012</v>
      </c>
      <c r="I5" s="72">
        <v>2013</v>
      </c>
      <c r="J5" s="72">
        <v>2014</v>
      </c>
      <c r="K5" s="72">
        <v>2015</v>
      </c>
      <c r="L5" s="72">
        <v>2016</v>
      </c>
      <c r="M5" s="72">
        <v>2017</v>
      </c>
      <c r="N5" s="72">
        <v>2018</v>
      </c>
      <c r="O5" s="72">
        <v>2019</v>
      </c>
      <c r="P5" s="72">
        <v>2020</v>
      </c>
      <c r="Q5" s="72">
        <v>2021</v>
      </c>
      <c r="R5" s="72">
        <v>2022</v>
      </c>
      <c r="S5" s="72">
        <v>2023</v>
      </c>
      <c r="T5" s="72">
        <v>2024</v>
      </c>
      <c r="U5" s="72">
        <v>2025</v>
      </c>
      <c r="V5" s="72">
        <v>2026</v>
      </c>
      <c r="W5" s="72">
        <v>2027</v>
      </c>
      <c r="X5" s="72">
        <v>2028</v>
      </c>
      <c r="Y5" s="72">
        <v>2029</v>
      </c>
      <c r="Z5" s="72">
        <v>2030</v>
      </c>
      <c r="AA5" s="72">
        <v>2031</v>
      </c>
      <c r="AB5" s="72">
        <v>2032</v>
      </c>
    </row>
    <row r="6" spans="1:28" x14ac:dyDescent="0.2">
      <c r="A6" s="72" t="s">
        <v>82</v>
      </c>
      <c r="B6" s="72" t="s">
        <v>83</v>
      </c>
      <c r="C6" s="72"/>
      <c r="D6" s="72"/>
      <c r="F6" s="72"/>
      <c r="G6" s="72"/>
      <c r="H6" s="72"/>
      <c r="I6" s="72"/>
      <c r="J6" s="72"/>
      <c r="K6" s="72"/>
      <c r="L6" s="72"/>
      <c r="M6" s="72"/>
      <c r="N6" s="72"/>
      <c r="O6" s="72"/>
      <c r="P6" s="72"/>
      <c r="Q6" s="72"/>
      <c r="R6" s="72"/>
      <c r="S6" s="72"/>
      <c r="T6" s="72"/>
      <c r="U6" s="72"/>
      <c r="V6" s="72"/>
      <c r="W6" s="72"/>
      <c r="X6" s="72"/>
      <c r="Y6" s="72"/>
      <c r="Z6" s="72"/>
      <c r="AA6" s="72"/>
      <c r="AB6" s="72"/>
    </row>
    <row r="7" spans="1:28" x14ac:dyDescent="0.2">
      <c r="A7" s="28" t="s">
        <v>84</v>
      </c>
      <c r="B7" s="83"/>
      <c r="C7" s="82">
        <f>0.436+1.313--0.052</f>
        <v>1.8009999999999999</v>
      </c>
      <c r="D7" s="82">
        <f>0.385+-0.995-0.034</f>
        <v>-0.64400000000000002</v>
      </c>
      <c r="E7" s="82">
        <f>0.383+-3.495--0.323</f>
        <v>-2.7890000000000001</v>
      </c>
      <c r="F7" s="82">
        <f>0.433+1.75-0.502</f>
        <v>1.6809999999999998</v>
      </c>
      <c r="G7" s="82">
        <f>0.518+3.518-0.169</f>
        <v>3.8669999999999995</v>
      </c>
      <c r="H7" s="82">
        <f>0.539+-0.204-0.132</f>
        <v>0.20300000000000007</v>
      </c>
      <c r="I7" s="82">
        <f>0.595+4.374-0.165</f>
        <v>4.8039999999999994</v>
      </c>
      <c r="J7" s="82">
        <f>0.767+3.735-0.164</f>
        <v>4.3380000000000001</v>
      </c>
      <c r="K7" s="82">
        <f>0.76+3.156-0.198</f>
        <v>3.7180000000000004</v>
      </c>
      <c r="L7" s="82">
        <v>0.53800000000000003</v>
      </c>
      <c r="M7" s="82">
        <v>6.1180000000000003</v>
      </c>
      <c r="N7" s="82">
        <v>4.4580000000000002</v>
      </c>
      <c r="O7" s="82">
        <v>3.3730000000000002</v>
      </c>
      <c r="P7" s="82">
        <v>3.6979999999999995</v>
      </c>
      <c r="Q7" s="82">
        <v>4.0940000000000003</v>
      </c>
      <c r="R7" s="82">
        <v>4.5819999999999999</v>
      </c>
      <c r="S7" s="82">
        <v>4.0947449843032659</v>
      </c>
      <c r="T7" s="82">
        <v>4.6209652523374176</v>
      </c>
      <c r="U7" s="82">
        <v>5.1894494243229277</v>
      </c>
      <c r="V7" s="82">
        <v>5.7997220018147644</v>
      </c>
      <c r="W7" s="82">
        <v>6.4520547858648918</v>
      </c>
      <c r="X7" s="82">
        <v>6.9763460044681826</v>
      </c>
      <c r="Y7" s="82">
        <v>7.5021361185040778</v>
      </c>
      <c r="Z7" s="82">
        <v>8.0396077531902321</v>
      </c>
      <c r="AA7" s="82">
        <v>8.5913264431590708</v>
      </c>
      <c r="AB7" s="82">
        <v>9.1580843348039895</v>
      </c>
    </row>
    <row r="8" spans="1:28" x14ac:dyDescent="0.2">
      <c r="A8" s="68" t="s">
        <v>1173</v>
      </c>
      <c r="B8" s="82"/>
      <c r="C8" s="82">
        <v>0.70699999999999996</v>
      </c>
      <c r="D8" s="82">
        <v>0.23699999999999999</v>
      </c>
      <c r="E8" s="82">
        <v>4.0000000000000001E-3</v>
      </c>
      <c r="F8" s="82">
        <v>-2.7E-2</v>
      </c>
      <c r="G8" s="82">
        <v>0.872</v>
      </c>
      <c r="H8" s="82">
        <v>0.16</v>
      </c>
      <c r="I8" s="82">
        <v>0.98299999999999998</v>
      </c>
      <c r="J8" s="82">
        <v>1.0740000000000001</v>
      </c>
      <c r="K8" s="82">
        <v>4.5999999999999999E-2</v>
      </c>
      <c r="L8" s="82">
        <v>0.51200000000000001</v>
      </c>
      <c r="M8" s="82">
        <v>1.139</v>
      </c>
      <c r="N8" s="82">
        <v>0.64200000000000002</v>
      </c>
      <c r="O8" s="82">
        <v>0.80700000000000005</v>
      </c>
      <c r="P8" s="82">
        <v>0.88700000000000001</v>
      </c>
      <c r="Q8" s="82">
        <v>0.98299999999999998</v>
      </c>
      <c r="R8" s="82">
        <v>1.101</v>
      </c>
      <c r="S8" s="82">
        <v>0.98273879623278382</v>
      </c>
      <c r="T8" s="82">
        <v>1.1090316605609802</v>
      </c>
      <c r="U8" s="82">
        <v>1.2454678618375026</v>
      </c>
      <c r="V8" s="82">
        <v>1.3919332804355433</v>
      </c>
      <c r="W8" s="82">
        <v>1.5484931486075739</v>
      </c>
      <c r="X8" s="82">
        <v>1.6743230410723637</v>
      </c>
      <c r="Y8" s="82">
        <v>1.8005126684409787</v>
      </c>
      <c r="Z8" s="82">
        <v>1.9295058607656557</v>
      </c>
      <c r="AA8" s="82">
        <v>2.0619183463581767</v>
      </c>
      <c r="AB8" s="82">
        <v>2.1979402403529575</v>
      </c>
    </row>
    <row r="9" spans="1:28" x14ac:dyDescent="0.2">
      <c r="A9" s="28" t="s">
        <v>85</v>
      </c>
      <c r="B9" s="82"/>
      <c r="C9" s="82">
        <v>2.048</v>
      </c>
      <c r="D9" s="82">
        <v>2.1040000000000001</v>
      </c>
      <c r="E9" s="82">
        <v>2.2429999999999999</v>
      </c>
      <c r="F9" s="82">
        <v>0.25</v>
      </c>
      <c r="G9" s="82">
        <v>0</v>
      </c>
      <c r="H9" s="82">
        <v>0</v>
      </c>
      <c r="I9" s="82">
        <v>0</v>
      </c>
      <c r="J9" s="82">
        <v>0</v>
      </c>
      <c r="K9" s="82">
        <v>0</v>
      </c>
      <c r="L9" s="82">
        <v>0</v>
      </c>
      <c r="M9" s="82">
        <v>0</v>
      </c>
      <c r="N9" s="82">
        <v>0.5</v>
      </c>
      <c r="O9" s="82">
        <v>1</v>
      </c>
      <c r="P9" s="82">
        <v>1.5</v>
      </c>
      <c r="Q9" s="82">
        <v>2.2000000000000002</v>
      </c>
      <c r="R9" s="82">
        <v>2.5</v>
      </c>
      <c r="S9" s="82">
        <v>2.6509999999999998</v>
      </c>
      <c r="T9" s="82">
        <v>2.54</v>
      </c>
      <c r="U9" s="82">
        <v>2.3679999999999999</v>
      </c>
      <c r="V9" s="82">
        <v>2.137</v>
      </c>
      <c r="W9" s="82">
        <v>1.8720000000000001</v>
      </c>
      <c r="X9" s="82">
        <v>1.595</v>
      </c>
      <c r="Y9" s="82">
        <v>1.323</v>
      </c>
      <c r="Z9" s="82">
        <v>1.0920000000000001</v>
      </c>
      <c r="AA9" s="82">
        <v>0.86699999999999999</v>
      </c>
      <c r="AB9" s="82">
        <v>0.63400000000000001</v>
      </c>
    </row>
    <row r="10" spans="1:28" x14ac:dyDescent="0.2">
      <c r="A10" s="28" t="s">
        <v>86</v>
      </c>
      <c r="B10" s="82"/>
      <c r="C10" s="82">
        <v>-2.4E-2</v>
      </c>
      <c r="D10" s="82">
        <v>1.6E-2</v>
      </c>
      <c r="E10" s="82">
        <v>2.5999999999999999E-2</v>
      </c>
      <c r="F10" s="82">
        <v>0.01</v>
      </c>
      <c r="G10" s="82">
        <v>1E-3</v>
      </c>
      <c r="H10" s="82">
        <v>8.0000000000000002E-3</v>
      </c>
      <c r="I10" s="82">
        <v>2.5000000000000001E-2</v>
      </c>
      <c r="J10" s="82">
        <v>-4.0000000000000001E-3</v>
      </c>
      <c r="K10" s="82">
        <v>4.1000000000000002E-2</v>
      </c>
      <c r="L10" s="82">
        <v>-2.1000000000000001E-2</v>
      </c>
      <c r="M10" s="82">
        <v>0</v>
      </c>
      <c r="N10" s="82">
        <v>4.2999999999999997E-2</v>
      </c>
      <c r="O10" s="82">
        <v>2.7E-2</v>
      </c>
      <c r="P10" s="82">
        <v>3.1E-2</v>
      </c>
      <c r="Q10" s="82">
        <v>3.5000000000000003E-2</v>
      </c>
      <c r="R10" s="82">
        <v>0.04</v>
      </c>
      <c r="S10" s="82">
        <v>3.5746355166331435E-2</v>
      </c>
      <c r="T10" s="82">
        <v>4.0340159339479861E-2</v>
      </c>
      <c r="U10" s="82">
        <v>4.5302919461570737E-2</v>
      </c>
      <c r="V10" s="82">
        <v>5.0630484520425706E-2</v>
      </c>
      <c r="W10" s="82">
        <v>5.6325227288213812E-2</v>
      </c>
      <c r="X10" s="82">
        <v>6.0902191221895968E-2</v>
      </c>
      <c r="Y10" s="82">
        <v>6.549224023137562E-2</v>
      </c>
      <c r="Z10" s="82">
        <v>7.0184266723616162E-2</v>
      </c>
      <c r="AA10" s="82">
        <v>7.500066733443099E-2</v>
      </c>
      <c r="AB10" s="82">
        <v>7.9948357353155738E-2</v>
      </c>
    </row>
    <row r="11" spans="1:28" x14ac:dyDescent="0.2">
      <c r="A11" s="72" t="s">
        <v>87</v>
      </c>
      <c r="B11" s="83">
        <v>9.8549999999999986</v>
      </c>
      <c r="C11" s="83">
        <v>12.972999999999999</v>
      </c>
      <c r="D11" s="83">
        <v>14.211999999999998</v>
      </c>
      <c r="E11" s="83">
        <v>13.687999999999997</v>
      </c>
      <c r="F11" s="83">
        <v>15.655999999999997</v>
      </c>
      <c r="G11" s="83">
        <v>18.651999999999997</v>
      </c>
      <c r="H11" s="83">
        <v>18.702999999999996</v>
      </c>
      <c r="I11" s="83">
        <v>22.548999999999992</v>
      </c>
      <c r="J11" s="83">
        <v>25.80899999999999</v>
      </c>
      <c r="K11" s="83">
        <v>29.521999999999991</v>
      </c>
      <c r="L11" s="83">
        <v>29.52699999999999</v>
      </c>
      <c r="M11" s="83">
        <v>34.506</v>
      </c>
      <c r="N11" s="83">
        <v>38.864999999999988</v>
      </c>
      <c r="O11" s="83">
        <v>42.457999999999991</v>
      </c>
      <c r="P11" s="83">
        <v>46.79999999999999</v>
      </c>
      <c r="Q11" s="83">
        <v>52.145999999999987</v>
      </c>
      <c r="R11" s="83">
        <v>58.166999999999987</v>
      </c>
      <c r="S11" s="83">
        <v>63.965752543236796</v>
      </c>
      <c r="T11" s="83">
        <v>70.058026294352715</v>
      </c>
      <c r="U11" s="83">
        <v>76.415310776299705</v>
      </c>
      <c r="V11" s="83">
        <v>83.010729982199351</v>
      </c>
      <c r="W11" s="83">
        <v>89.842616846744875</v>
      </c>
      <c r="X11" s="83">
        <v>96.800542001362587</v>
      </c>
      <c r="Y11" s="83">
        <v>103.89065769165705</v>
      </c>
      <c r="Z11" s="83">
        <v>111.16294385080525</v>
      </c>
      <c r="AA11" s="83">
        <v>118.63435261494058</v>
      </c>
      <c r="AB11" s="83">
        <v>126.30844506674478</v>
      </c>
    </row>
    <row r="12" spans="1:28" x14ac:dyDescent="0.2">
      <c r="B12" s="80"/>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row>
    <row r="13" spans="1:28" x14ac:dyDescent="0.2">
      <c r="A13" s="72" t="s">
        <v>88</v>
      </c>
      <c r="B13" s="72" t="s">
        <v>83</v>
      </c>
    </row>
    <row r="14" spans="1:28" x14ac:dyDescent="0.2">
      <c r="A14" s="28" t="s">
        <v>898</v>
      </c>
      <c r="C14" s="82">
        <v>1.1759999999999999</v>
      </c>
      <c r="D14" s="82">
        <v>1.2010000000000001</v>
      </c>
      <c r="E14" s="82">
        <v>1.35</v>
      </c>
      <c r="F14" s="82">
        <v>1.5249999999999999</v>
      </c>
      <c r="G14" s="82">
        <v>1.5640000000000001</v>
      </c>
      <c r="H14" s="82">
        <v>1.5860000000000001</v>
      </c>
      <c r="I14" s="82">
        <v>1.4810000000000001</v>
      </c>
      <c r="J14" s="82">
        <v>1.512</v>
      </c>
      <c r="K14" s="82">
        <v>1.518</v>
      </c>
      <c r="L14" s="82">
        <v>1.512</v>
      </c>
      <c r="M14" s="82">
        <v>1.4750000000000001</v>
      </c>
      <c r="N14" s="82">
        <v>1.3759999999999999</v>
      </c>
      <c r="O14" s="82">
        <v>1.3660000000000001</v>
      </c>
      <c r="P14" s="82">
        <v>1.401</v>
      </c>
      <c r="Q14" s="82">
        <v>1.452</v>
      </c>
      <c r="R14" s="82">
        <v>1.49</v>
      </c>
      <c r="S14" s="82">
        <v>1.5129999999999999</v>
      </c>
      <c r="T14" s="82">
        <v>1.5489999999999999</v>
      </c>
      <c r="U14" s="82">
        <v>1.5860000000000001</v>
      </c>
      <c r="V14" s="82">
        <v>1.6259999999999999</v>
      </c>
      <c r="W14" s="82">
        <v>1.67</v>
      </c>
      <c r="X14" s="82">
        <v>1.718</v>
      </c>
      <c r="Y14" s="82">
        <v>1.764</v>
      </c>
      <c r="Z14" s="82">
        <v>1.81</v>
      </c>
      <c r="AA14" s="82">
        <v>1.853</v>
      </c>
      <c r="AB14" s="82">
        <v>1.8939999999999999</v>
      </c>
    </row>
    <row r="15" spans="1:28" x14ac:dyDescent="0.2">
      <c r="A15" s="28" t="s">
        <v>899</v>
      </c>
      <c r="C15" s="82">
        <v>0.1</v>
      </c>
      <c r="D15" s="82">
        <v>7.0000000000000001E-3</v>
      </c>
      <c r="E15" s="82">
        <v>1.7999999999999999E-2</v>
      </c>
      <c r="F15" s="82">
        <v>1.0999999999999999E-2</v>
      </c>
      <c r="G15" s="82">
        <v>1.2E-2</v>
      </c>
      <c r="H15" s="82">
        <v>1.0999999999999999E-2</v>
      </c>
      <c r="I15" s="82">
        <v>0</v>
      </c>
      <c r="J15" s="82">
        <v>1.0999999999999999E-2</v>
      </c>
      <c r="K15" s="82">
        <v>1.0999999999999999E-2</v>
      </c>
      <c r="L15" s="82">
        <v>0.01</v>
      </c>
      <c r="M15" s="82">
        <v>0.01</v>
      </c>
      <c r="N15" s="82">
        <v>8.9999999999999993E-3</v>
      </c>
      <c r="O15" s="82">
        <v>8.9999999999999993E-3</v>
      </c>
      <c r="P15" s="82">
        <v>8.0000000000000002E-3</v>
      </c>
      <c r="Q15" s="82">
        <v>0.01</v>
      </c>
      <c r="R15" s="82">
        <v>0.01</v>
      </c>
      <c r="S15" s="82">
        <v>8.9999999999999993E-3</v>
      </c>
      <c r="T15" s="82">
        <v>8.9999999999999993E-3</v>
      </c>
      <c r="U15" s="82">
        <v>1.0999999999999999E-2</v>
      </c>
      <c r="V15" s="82">
        <v>8.0000000000000002E-3</v>
      </c>
      <c r="W15" s="82">
        <v>8.9999999999999993E-3</v>
      </c>
      <c r="X15" s="82">
        <v>0.01</v>
      </c>
      <c r="Y15" s="82">
        <v>1.0999999999999999E-2</v>
      </c>
      <c r="Z15" s="82">
        <v>8.0000000000000002E-3</v>
      </c>
      <c r="AA15" s="82">
        <v>0.01</v>
      </c>
      <c r="AB15" s="82">
        <v>0.01</v>
      </c>
    </row>
    <row r="16" spans="1:28" x14ac:dyDescent="0.2">
      <c r="A16" s="68" t="s">
        <v>1174</v>
      </c>
      <c r="C16" s="82">
        <v>0.48799999999999999</v>
      </c>
      <c r="D16" s="82">
        <v>0.48699999999999999</v>
      </c>
      <c r="E16" s="82">
        <v>0.53200000000000003</v>
      </c>
      <c r="F16" s="82">
        <v>0.72799999999999998</v>
      </c>
      <c r="G16" s="82">
        <v>0.71299999999999997</v>
      </c>
      <c r="H16" s="82">
        <v>0.70099999999999996</v>
      </c>
      <c r="I16" s="82">
        <v>0.53600000000000003</v>
      </c>
      <c r="J16" s="82">
        <v>0.63</v>
      </c>
      <c r="K16" s="82">
        <v>0.60199999999999998</v>
      </c>
      <c r="L16" s="82">
        <v>0.65900000000000003</v>
      </c>
      <c r="M16" s="82">
        <v>0.66200000000000003</v>
      </c>
      <c r="N16" s="82">
        <v>0.61499999999999999</v>
      </c>
      <c r="O16" s="82">
        <v>0.61</v>
      </c>
      <c r="P16" s="82">
        <v>0.626</v>
      </c>
      <c r="Q16" s="82">
        <v>0.64900000000000002</v>
      </c>
      <c r="R16" s="82">
        <v>0.66600000000000004</v>
      </c>
      <c r="S16" s="82">
        <v>0.70199999999999996</v>
      </c>
      <c r="T16" s="82">
        <v>0.72399999999999998</v>
      </c>
      <c r="U16" s="82">
        <v>0.745</v>
      </c>
      <c r="V16" s="82">
        <v>0.76600000000000001</v>
      </c>
      <c r="W16" s="82">
        <v>0.78900000000000003</v>
      </c>
      <c r="X16" s="82">
        <v>0.81399999999999995</v>
      </c>
      <c r="Y16" s="82">
        <v>0.83799999999999997</v>
      </c>
      <c r="Z16" s="82">
        <v>0.86099999999999999</v>
      </c>
      <c r="AA16" s="82">
        <v>0.88400000000000001</v>
      </c>
      <c r="AB16" s="82">
        <v>0.90600000000000003</v>
      </c>
    </row>
    <row r="17" spans="1:28" x14ac:dyDescent="0.2">
      <c r="A17" s="68" t="s">
        <v>1175</v>
      </c>
      <c r="C17" s="82">
        <v>0.55500000000000005</v>
      </c>
      <c r="D17" s="82">
        <v>0.629</v>
      </c>
      <c r="E17" s="82">
        <v>0.71</v>
      </c>
      <c r="F17" s="82">
        <v>0.754</v>
      </c>
      <c r="G17" s="82">
        <v>0.80200000000000005</v>
      </c>
      <c r="H17" s="82">
        <v>0.877</v>
      </c>
      <c r="I17" s="82">
        <v>1.054</v>
      </c>
      <c r="J17" s="82">
        <v>1.032</v>
      </c>
      <c r="K17" s="82">
        <v>1.1140000000000001</v>
      </c>
      <c r="L17" s="82">
        <v>1.208</v>
      </c>
      <c r="M17" s="82">
        <v>1.272</v>
      </c>
      <c r="N17" s="82">
        <v>1.353</v>
      </c>
      <c r="O17" s="82">
        <v>1.4490000000000001</v>
      </c>
      <c r="P17" s="82">
        <v>1.5349999999999999</v>
      </c>
      <c r="Q17" s="82">
        <v>1.621</v>
      </c>
      <c r="R17" s="82">
        <v>1.7110000000000001</v>
      </c>
      <c r="S17" s="82">
        <v>1.5940000000000001</v>
      </c>
      <c r="T17" s="82">
        <v>1.5960000000000001</v>
      </c>
      <c r="U17" s="82">
        <v>1.601</v>
      </c>
      <c r="V17" s="82">
        <v>1.607</v>
      </c>
      <c r="W17" s="82">
        <v>1.615</v>
      </c>
      <c r="X17" s="82">
        <v>1.627</v>
      </c>
      <c r="Y17" s="82">
        <v>1.6439999999999999</v>
      </c>
      <c r="Z17" s="82">
        <v>1.6619999999999999</v>
      </c>
      <c r="AA17" s="82">
        <v>1.6839999999999999</v>
      </c>
      <c r="AB17" s="82">
        <v>1.708</v>
      </c>
    </row>
    <row r="18" spans="1:28" x14ac:dyDescent="0.2">
      <c r="A18" s="28" t="s">
        <v>89</v>
      </c>
      <c r="C18" s="82">
        <v>0.36</v>
      </c>
      <c r="D18" s="82">
        <v>0.40699999999999997</v>
      </c>
      <c r="E18" s="82">
        <v>0.46500000000000002</v>
      </c>
      <c r="F18" s="82">
        <v>0.46300000000000002</v>
      </c>
      <c r="G18" s="82">
        <v>0.48399999999999999</v>
      </c>
      <c r="H18" s="82">
        <v>0.52600000000000002</v>
      </c>
      <c r="I18" s="82">
        <v>0.59</v>
      </c>
      <c r="J18" s="82">
        <v>0.57899999999999996</v>
      </c>
      <c r="K18" s="82">
        <v>0.60399999999999998</v>
      </c>
      <c r="L18" s="82">
        <v>0.60299999999999998</v>
      </c>
      <c r="M18" s="82">
        <v>0.60199999999999998</v>
      </c>
      <c r="N18" s="82">
        <v>0.59</v>
      </c>
      <c r="O18" s="82">
        <v>0.58399999999999996</v>
      </c>
      <c r="P18" s="82">
        <v>0.57399999999999995</v>
      </c>
      <c r="Q18" s="82">
        <v>0.55800000000000005</v>
      </c>
      <c r="R18" s="82">
        <v>0.53700000000000003</v>
      </c>
      <c r="S18" s="82">
        <v>0.52300000000000002</v>
      </c>
      <c r="T18" s="82">
        <v>0.54300000000000004</v>
      </c>
      <c r="U18" s="82">
        <v>0.55400000000000005</v>
      </c>
      <c r="V18" s="82">
        <v>0.56399999999999995</v>
      </c>
      <c r="W18" s="82">
        <v>0.57099999999999995</v>
      </c>
      <c r="X18" s="82">
        <v>0.57699999999999996</v>
      </c>
      <c r="Y18" s="82">
        <v>0.58499999999999996</v>
      </c>
      <c r="Z18" s="82">
        <v>0.59399999999999997</v>
      </c>
      <c r="AA18" s="82">
        <v>0.60499999999999998</v>
      </c>
      <c r="AB18" s="82">
        <v>0.61499999999999999</v>
      </c>
    </row>
    <row r="19" spans="1:28" x14ac:dyDescent="0.2">
      <c r="A19" s="68" t="s">
        <v>1176</v>
      </c>
      <c r="C19" s="82">
        <v>0.151</v>
      </c>
      <c r="D19" s="82">
        <v>-0.23100000000000001</v>
      </c>
      <c r="E19" s="82">
        <v>0.77900000000000003</v>
      </c>
      <c r="F19" s="82">
        <v>0.28000000000000003</v>
      </c>
      <c r="G19" s="82">
        <v>-0.125</v>
      </c>
      <c r="H19" s="82">
        <v>-0.28599999999999998</v>
      </c>
      <c r="I19" s="82">
        <v>0.48399999999999999</v>
      </c>
      <c r="J19" s="82">
        <v>1.2E-2</v>
      </c>
      <c r="K19" s="82">
        <v>0.26900000000000002</v>
      </c>
      <c r="L19" s="82">
        <v>0.14000000000000001</v>
      </c>
      <c r="M19" s="82">
        <v>-6.2E-2</v>
      </c>
      <c r="N19" s="82">
        <v>-0.113</v>
      </c>
      <c r="O19" s="82">
        <v>0</v>
      </c>
      <c r="P19" s="82">
        <v>0</v>
      </c>
      <c r="Q19" s="82">
        <v>0</v>
      </c>
      <c r="R19" s="82">
        <v>0</v>
      </c>
      <c r="S19" s="82">
        <v>0</v>
      </c>
      <c r="T19" s="82">
        <v>0</v>
      </c>
      <c r="U19" s="82">
        <v>0</v>
      </c>
      <c r="V19" s="82">
        <v>0</v>
      </c>
      <c r="W19" s="82">
        <v>0</v>
      </c>
      <c r="X19" s="82">
        <v>0</v>
      </c>
      <c r="Y19" s="82">
        <v>0</v>
      </c>
      <c r="Z19" s="82">
        <v>0</v>
      </c>
      <c r="AA19" s="82">
        <v>0</v>
      </c>
      <c r="AB19" s="82">
        <v>0</v>
      </c>
    </row>
    <row r="20" spans="1:28" x14ac:dyDescent="0.2">
      <c r="A20" s="72" t="s">
        <v>87</v>
      </c>
      <c r="B20" s="83">
        <v>5.569</v>
      </c>
      <c r="C20" s="83">
        <v>6.0110000000000001</v>
      </c>
      <c r="D20" s="83">
        <v>6.7409999999999997</v>
      </c>
      <c r="E20" s="83">
        <v>6.552999999999999</v>
      </c>
      <c r="F20" s="83">
        <v>6.79</v>
      </c>
      <c r="G20" s="83">
        <v>7.4599999999999982</v>
      </c>
      <c r="H20" s="83">
        <v>8.2909999999999968</v>
      </c>
      <c r="I20" s="83">
        <v>8.2879999999999967</v>
      </c>
      <c r="J20" s="83">
        <v>8.7159999999999958</v>
      </c>
      <c r="K20" s="83">
        <v>8.8639999999999937</v>
      </c>
      <c r="L20" s="83">
        <v>8.9819999999999993</v>
      </c>
      <c r="M20" s="83">
        <v>9.1969999999999992</v>
      </c>
      <c r="N20" s="83">
        <v>9.3170000000000002</v>
      </c>
      <c r="O20" s="83">
        <v>9.2170000000000005</v>
      </c>
      <c r="P20" s="83">
        <v>9.0389999999999997</v>
      </c>
      <c r="Q20" s="83">
        <v>8.7889999999999997</v>
      </c>
      <c r="R20" s="83">
        <v>8.4489999999999998</v>
      </c>
      <c r="S20" s="83">
        <v>8.1980000000000004</v>
      </c>
      <c r="T20" s="83">
        <v>7.9790000000000001</v>
      </c>
      <c r="U20" s="83">
        <v>7.7839999999999998</v>
      </c>
      <c r="V20" s="83">
        <v>7.609</v>
      </c>
      <c r="W20" s="83">
        <v>7.4550000000000001</v>
      </c>
      <c r="X20" s="83">
        <v>7.319</v>
      </c>
      <c r="Y20" s="83">
        <v>7.1970000000000001</v>
      </c>
      <c r="Z20" s="83">
        <v>7.0860000000000003</v>
      </c>
      <c r="AA20" s="83">
        <v>6.9859999999999998</v>
      </c>
      <c r="AB20" s="83">
        <v>6.891</v>
      </c>
    </row>
    <row r="21" spans="1:28" x14ac:dyDescent="0.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row>
    <row r="22" spans="1:28" x14ac:dyDescent="0.2">
      <c r="A22" s="72" t="s">
        <v>90</v>
      </c>
      <c r="B22" s="72" t="s">
        <v>83</v>
      </c>
    </row>
    <row r="23" spans="1:28" x14ac:dyDescent="0.2">
      <c r="A23" s="28" t="s">
        <v>91</v>
      </c>
      <c r="N23" s="82">
        <v>3.5984018123530488</v>
      </c>
      <c r="O23" s="82">
        <v>4.3970976015025629</v>
      </c>
      <c r="P23" s="82">
        <v>4.7980669933363194</v>
      </c>
      <c r="Q23" s="82">
        <v>4.9621483927709837</v>
      </c>
      <c r="R23" s="82">
        <v>5.2434702775546445</v>
      </c>
      <c r="S23" s="82">
        <v>5.4277810864184115</v>
      </c>
      <c r="T23" s="82">
        <v>5.752997774561071</v>
      </c>
      <c r="U23" s="82">
        <v>5.9385966068894405</v>
      </c>
      <c r="V23" s="82">
        <v>6.2453865402073552</v>
      </c>
      <c r="W23" s="82">
        <v>6.4601098232290513</v>
      </c>
      <c r="X23" s="82">
        <v>6.8187950573227631</v>
      </c>
      <c r="Y23" s="82">
        <v>7.0644660425509986</v>
      </c>
      <c r="Z23" s="82">
        <v>7.4441189079434613</v>
      </c>
      <c r="AA23" s="82">
        <v>7.703094820546271</v>
      </c>
      <c r="AB23" s="82">
        <v>8.1260578449550369</v>
      </c>
    </row>
    <row r="24" spans="1:28" x14ac:dyDescent="0.2">
      <c r="A24" s="28" t="s">
        <v>93</v>
      </c>
      <c r="N24" s="82">
        <v>1.059816397646669</v>
      </c>
      <c r="O24" s="82">
        <v>1.6970639400774634</v>
      </c>
      <c r="P24" s="82">
        <v>1.74194791817131</v>
      </c>
      <c r="Q24" s="82">
        <v>1.7949233951765522</v>
      </c>
      <c r="R24" s="82">
        <v>1.8594985792567706</v>
      </c>
      <c r="S24" s="82">
        <v>1.9171182961519027</v>
      </c>
      <c r="T24" s="82">
        <v>1.9887209129083976</v>
      </c>
      <c r="U24" s="82">
        <v>2.0475523273657599</v>
      </c>
      <c r="V24" s="82">
        <v>2.1132890579965999</v>
      </c>
      <c r="W24" s="82">
        <v>2.1849530486445152</v>
      </c>
      <c r="X24" s="82">
        <v>2.2605583291199203</v>
      </c>
      <c r="Y24" s="82">
        <v>2.3551698880770586</v>
      </c>
      <c r="Z24" s="82">
        <v>2.4400834399205893</v>
      </c>
      <c r="AA24" s="82">
        <v>2.5313812238365507</v>
      </c>
      <c r="AB24" s="82">
        <v>2.6275516433965325</v>
      </c>
    </row>
    <row r="25" spans="1:28" x14ac:dyDescent="0.2">
      <c r="A25" s="28" t="s">
        <v>92</v>
      </c>
      <c r="N25" s="82">
        <v>4.1534887666017868</v>
      </c>
      <c r="O25" s="82">
        <v>4.7778580950756799</v>
      </c>
      <c r="P25" s="82">
        <v>5.005175033951887</v>
      </c>
      <c r="Q25" s="82">
        <v>5.2331131270774494</v>
      </c>
      <c r="R25" s="82">
        <v>5.4844842944245284</v>
      </c>
      <c r="S25" s="82">
        <v>5.7260055117135407</v>
      </c>
      <c r="T25" s="82">
        <v>6.0020798778110382</v>
      </c>
      <c r="U25" s="82">
        <v>6.2573248960155423</v>
      </c>
      <c r="V25" s="82">
        <v>6.5228004301698101</v>
      </c>
      <c r="W25" s="82">
        <v>6.806220183369514</v>
      </c>
      <c r="X25" s="82">
        <v>7.1003338386774626</v>
      </c>
      <c r="Y25" s="82">
        <v>7.417680499324816</v>
      </c>
      <c r="Z25" s="82">
        <v>7.7336897161248244</v>
      </c>
      <c r="AA25" s="82">
        <v>8.0662419159762511</v>
      </c>
      <c r="AB25" s="82">
        <v>8.4161191675881106</v>
      </c>
    </row>
    <row r="26" spans="1:28" x14ac:dyDescent="0.2">
      <c r="A26" s="28" t="s">
        <v>94</v>
      </c>
      <c r="N26" s="82">
        <v>0.98418117472609912</v>
      </c>
      <c r="O26" s="82">
        <v>1.4073598076021674</v>
      </c>
      <c r="P26" s="82">
        <v>1.4697006307869305</v>
      </c>
      <c r="Q26" s="82">
        <v>1.5339338747430442</v>
      </c>
      <c r="R26" s="82">
        <v>1.6199726181189</v>
      </c>
      <c r="S26" s="82">
        <v>1.6917586958776993</v>
      </c>
      <c r="T26" s="82">
        <v>1.7780192177780394</v>
      </c>
      <c r="U26" s="82">
        <v>1.8508420555315546</v>
      </c>
      <c r="V26" s="82">
        <v>1.9310304692710674</v>
      </c>
      <c r="W26" s="82">
        <v>2.017656405113335</v>
      </c>
      <c r="X26" s="82">
        <v>2.1062080392389233</v>
      </c>
      <c r="Y26" s="82">
        <v>2.2088214359453882</v>
      </c>
      <c r="Z26" s="82">
        <v>2.3005040774241312</v>
      </c>
      <c r="AA26" s="82">
        <v>2.3986943712579372</v>
      </c>
      <c r="AB26" s="82">
        <v>2.50371144947855</v>
      </c>
    </row>
    <row r="27" spans="1:28" x14ac:dyDescent="0.2">
      <c r="A27" s="28" t="s">
        <v>95</v>
      </c>
      <c r="N27" s="82">
        <v>1.3154244706813953</v>
      </c>
      <c r="O27" s="82">
        <v>1.4623371587869947</v>
      </c>
      <c r="P27" s="82">
        <v>1.5673701597457559</v>
      </c>
      <c r="Q27" s="82">
        <v>1.6826796158270341</v>
      </c>
      <c r="R27" s="82">
        <v>1.8063966506100133</v>
      </c>
      <c r="S27" s="82">
        <v>1.9390607926023076</v>
      </c>
      <c r="T27" s="82">
        <v>2.0820297399621066</v>
      </c>
      <c r="U27" s="82">
        <v>2.2346142632722321</v>
      </c>
      <c r="V27" s="82">
        <v>2.3852000828336171</v>
      </c>
      <c r="W27" s="82">
        <v>2.528780438926209</v>
      </c>
      <c r="X27" s="82">
        <v>2.7091546527512684</v>
      </c>
      <c r="Y27" s="82">
        <v>2.8481236136702588</v>
      </c>
      <c r="Z27" s="82">
        <v>2.9810448605376885</v>
      </c>
      <c r="AA27" s="82">
        <v>3.1212145902386159</v>
      </c>
      <c r="AB27" s="82">
        <v>3.2700173879243155</v>
      </c>
    </row>
    <row r="28" spans="1:28" x14ac:dyDescent="0.2">
      <c r="A28" s="28" t="s">
        <v>96</v>
      </c>
      <c r="N28" s="82">
        <v>37.052264241163186</v>
      </c>
      <c r="O28" s="82">
        <v>38.133840906377074</v>
      </c>
      <c r="P28" s="82">
        <v>39.494103025507265</v>
      </c>
      <c r="Q28" s="82">
        <v>40.905817907027824</v>
      </c>
      <c r="R28" s="82">
        <v>42.471200540767953</v>
      </c>
      <c r="S28" s="82">
        <v>44.112036908075147</v>
      </c>
      <c r="T28" s="82">
        <v>45.944984544787268</v>
      </c>
      <c r="U28" s="82">
        <v>47.860870518933403</v>
      </c>
      <c r="V28" s="82">
        <v>49.968656711804556</v>
      </c>
      <c r="W28" s="82">
        <v>52.151326790590311</v>
      </c>
      <c r="X28" s="82">
        <v>54.578942661986879</v>
      </c>
      <c r="Y28" s="82">
        <v>57.073851818883305</v>
      </c>
      <c r="Z28" s="82">
        <v>59.765325871239646</v>
      </c>
      <c r="AA28" s="82">
        <v>62.523393366048268</v>
      </c>
      <c r="AB28" s="82">
        <v>65.503349436339519</v>
      </c>
    </row>
    <row r="29" spans="1:28" x14ac:dyDescent="0.2">
      <c r="A29" s="28" t="s">
        <v>97</v>
      </c>
      <c r="N29" s="82">
        <v>38.829649603855202</v>
      </c>
      <c r="O29" s="82">
        <v>40.109598391113707</v>
      </c>
      <c r="P29" s="82">
        <v>41.54143136891642</v>
      </c>
      <c r="Q29" s="82">
        <v>43.130879990026962</v>
      </c>
      <c r="R29" s="82">
        <v>44.847146098618147</v>
      </c>
      <c r="S29" s="82">
        <v>46.684642584646312</v>
      </c>
      <c r="T29" s="82">
        <v>48.6054897921437</v>
      </c>
      <c r="U29" s="82">
        <v>50.648096533364509</v>
      </c>
      <c r="V29" s="82">
        <v>52.812834570159197</v>
      </c>
      <c r="W29" s="82">
        <v>55.096255822667793</v>
      </c>
      <c r="X29" s="82">
        <v>57.506689861215413</v>
      </c>
      <c r="Y29" s="82">
        <v>60.024217770016932</v>
      </c>
      <c r="Z29" s="82">
        <v>62.687738088475434</v>
      </c>
      <c r="AA29" s="82">
        <v>65.502285942762526</v>
      </c>
      <c r="AB29" s="82">
        <v>68.470663395387319</v>
      </c>
    </row>
    <row r="31" spans="1:28" x14ac:dyDescent="0.2">
      <c r="A31" s="72" t="s">
        <v>98</v>
      </c>
      <c r="B31" s="72" t="s">
        <v>83</v>
      </c>
    </row>
    <row r="32" spans="1:28" x14ac:dyDescent="0.2">
      <c r="A32" s="28" t="s">
        <v>99</v>
      </c>
      <c r="L32" s="82">
        <v>0.40600000000000003</v>
      </c>
      <c r="M32" s="82">
        <v>0.433</v>
      </c>
      <c r="N32" s="82">
        <v>0.44800000000000001</v>
      </c>
      <c r="O32" s="82">
        <v>0.45</v>
      </c>
      <c r="P32" s="82">
        <v>0.44</v>
      </c>
      <c r="Q32" s="82">
        <v>0.42799999999999999</v>
      </c>
      <c r="R32" s="82">
        <v>0.41299999999999998</v>
      </c>
      <c r="S32" s="82">
        <v>0.40600000000000003</v>
      </c>
      <c r="T32" s="82">
        <v>0.40899999999999997</v>
      </c>
      <c r="U32" s="82">
        <v>0.41099999999999998</v>
      </c>
      <c r="V32" s="82">
        <v>0.41299999999999998</v>
      </c>
      <c r="W32" s="82">
        <v>0.41399999999999998</v>
      </c>
      <c r="X32" s="82">
        <v>0.40899999999999997</v>
      </c>
      <c r="Y32" s="82">
        <v>0.39300000000000002</v>
      </c>
      <c r="Z32" s="82">
        <v>0.378</v>
      </c>
      <c r="AA32" s="82">
        <v>0.36099999999999999</v>
      </c>
      <c r="AB32" s="82">
        <v>0.34399999999999997</v>
      </c>
    </row>
    <row r="33" spans="1:28" x14ac:dyDescent="0.2">
      <c r="A33" s="28" t="s">
        <v>96</v>
      </c>
      <c r="L33" s="82">
        <v>3.2450000000000001</v>
      </c>
      <c r="M33" s="82">
        <v>3.2749999999999999</v>
      </c>
      <c r="N33" s="82">
        <v>3.2650000000000001</v>
      </c>
      <c r="O33" s="82">
        <v>3.246</v>
      </c>
      <c r="P33" s="82">
        <v>3.2149999999999999</v>
      </c>
      <c r="Q33" s="82">
        <v>3.1739999999999999</v>
      </c>
      <c r="R33" s="82">
        <v>3.1240000000000001</v>
      </c>
      <c r="S33" s="82">
        <v>3.0649999999999999</v>
      </c>
      <c r="T33" s="82">
        <v>2.9990000000000001</v>
      </c>
      <c r="U33" s="82">
        <v>2.9239999999999999</v>
      </c>
      <c r="V33" s="82">
        <v>2.843</v>
      </c>
      <c r="W33" s="82">
        <v>2.7570000000000001</v>
      </c>
      <c r="X33" s="82">
        <v>2.6659999999999999</v>
      </c>
      <c r="Y33" s="82">
        <v>2.5710000000000002</v>
      </c>
      <c r="Z33" s="82">
        <v>2.4729999999999999</v>
      </c>
      <c r="AA33" s="82">
        <v>2.371</v>
      </c>
      <c r="AB33" s="82">
        <v>2.2669999999999999</v>
      </c>
    </row>
    <row r="34" spans="1:28" x14ac:dyDescent="0.2">
      <c r="A34" s="28" t="s">
        <v>97</v>
      </c>
      <c r="L34" s="82">
        <v>13.744999999999999</v>
      </c>
      <c r="M34" s="82">
        <v>13.493</v>
      </c>
      <c r="N34" s="82">
        <v>13.244999999999999</v>
      </c>
      <c r="O34" s="82">
        <v>12.984999999999999</v>
      </c>
      <c r="P34" s="82">
        <v>12.689</v>
      </c>
      <c r="Q34" s="82">
        <v>12.366</v>
      </c>
      <c r="R34" s="82">
        <v>12.019</v>
      </c>
      <c r="S34" s="82">
        <v>11.656000000000001</v>
      </c>
      <c r="T34" s="82">
        <v>11.29</v>
      </c>
      <c r="U34" s="82">
        <v>10.92</v>
      </c>
      <c r="V34" s="82">
        <v>10.553000000000001</v>
      </c>
      <c r="W34" s="82">
        <v>10.186999999999999</v>
      </c>
      <c r="X34" s="82">
        <v>9.8190000000000008</v>
      </c>
      <c r="Y34" s="82">
        <v>9.44</v>
      </c>
      <c r="Z34" s="82">
        <v>9.0530000000000008</v>
      </c>
      <c r="AA34" s="82">
        <v>8.6560000000000006</v>
      </c>
      <c r="AB34" s="82">
        <v>8.2539999999999996</v>
      </c>
    </row>
    <row r="36" spans="1:28" x14ac:dyDescent="0.2">
      <c r="A36" s="72" t="s">
        <v>100</v>
      </c>
      <c r="B36" s="72" t="s">
        <v>83</v>
      </c>
      <c r="D36" s="82">
        <v>1.1020000000000001</v>
      </c>
      <c r="E36" s="82">
        <v>1.2809999999999999</v>
      </c>
      <c r="F36" s="82">
        <v>1.024</v>
      </c>
      <c r="G36" s="82">
        <v>1.0409999999999999</v>
      </c>
      <c r="H36" s="82">
        <v>0.68899999999999995</v>
      </c>
      <c r="I36" s="82">
        <v>0.72299999999999998</v>
      </c>
      <c r="J36" s="82">
        <v>0.80400000000000005</v>
      </c>
      <c r="K36" s="82">
        <v>0.85499999999999998</v>
      </c>
      <c r="L36" s="82">
        <v>0.69799999999999995</v>
      </c>
      <c r="M36" s="82">
        <v>0.74299999999999999</v>
      </c>
      <c r="N36" s="82">
        <v>0.83</v>
      </c>
      <c r="O36" s="82">
        <v>0.86</v>
      </c>
      <c r="P36" s="82">
        <v>0.90100000000000002</v>
      </c>
      <c r="Q36" s="82">
        <v>0.94299999999999995</v>
      </c>
      <c r="R36" s="82">
        <v>0.98199999999999998</v>
      </c>
      <c r="S36" s="82">
        <v>1.0169999999999999</v>
      </c>
      <c r="T36" s="82">
        <v>1.052</v>
      </c>
      <c r="U36" s="82">
        <v>1.085</v>
      </c>
      <c r="V36" s="82">
        <v>1.1180000000000001</v>
      </c>
      <c r="W36" s="82">
        <v>1.147</v>
      </c>
      <c r="X36" s="82">
        <v>1.1739999999999999</v>
      </c>
      <c r="Y36" s="82">
        <v>1.198</v>
      </c>
      <c r="Z36" s="82">
        <v>1.2210000000000001</v>
      </c>
      <c r="AA36" s="82">
        <v>1.244</v>
      </c>
      <c r="AB36" s="82">
        <v>1.266</v>
      </c>
    </row>
    <row r="37" spans="1:28" x14ac:dyDescent="0.2">
      <c r="A37" s="72"/>
      <c r="B37" s="72"/>
    </row>
    <row r="38" spans="1:28" x14ac:dyDescent="0.2">
      <c r="A38" s="72" t="s">
        <v>514</v>
      </c>
      <c r="B38" s="72" t="s">
        <v>515</v>
      </c>
      <c r="C38" s="82">
        <v>2.4790000000000001</v>
      </c>
      <c r="D38" s="82">
        <v>0.70099999999999996</v>
      </c>
      <c r="E38" s="82">
        <v>1.6539999999999999</v>
      </c>
      <c r="F38" s="82">
        <v>0.59</v>
      </c>
      <c r="G38" s="82">
        <v>1.01</v>
      </c>
      <c r="H38" s="82">
        <v>1.0029999999999999</v>
      </c>
      <c r="I38" s="82">
        <v>0.92500000000000004</v>
      </c>
      <c r="J38" s="82">
        <v>1.069</v>
      </c>
      <c r="K38" s="82">
        <v>0.873</v>
      </c>
      <c r="L38" s="82">
        <v>0.68</v>
      </c>
      <c r="M38" s="82">
        <v>0.49299999999999999</v>
      </c>
      <c r="N38" s="82">
        <v>0.64</v>
      </c>
      <c r="O38" s="82">
        <v>0.68</v>
      </c>
      <c r="P38" s="82">
        <v>0.68</v>
      </c>
      <c r="Q38" s="82">
        <v>0.68</v>
      </c>
      <c r="R38" s="82">
        <v>0.68</v>
      </c>
    </row>
    <row r="40" spans="1:28" x14ac:dyDescent="0.2">
      <c r="A40" s="72" t="s">
        <v>426</v>
      </c>
    </row>
    <row r="41" spans="1:28" x14ac:dyDescent="0.2">
      <c r="A41" s="28" t="s">
        <v>427</v>
      </c>
      <c r="B41" s="87">
        <v>0.05</v>
      </c>
      <c r="D41" s="28" t="s">
        <v>436</v>
      </c>
      <c r="I41" s="87">
        <v>0.03</v>
      </c>
      <c r="K41" s="28" t="s">
        <v>442</v>
      </c>
      <c r="P41" s="87">
        <v>0.02</v>
      </c>
    </row>
    <row r="42" spans="1:28" x14ac:dyDescent="0.2">
      <c r="A42" s="28" t="s">
        <v>428</v>
      </c>
      <c r="B42" s="87">
        <v>0.25</v>
      </c>
      <c r="D42" s="28" t="s">
        <v>438</v>
      </c>
      <c r="I42" s="87">
        <v>0.23</v>
      </c>
      <c r="K42" s="28" t="s">
        <v>443</v>
      </c>
      <c r="P42" s="87">
        <v>0.41</v>
      </c>
    </row>
    <row r="43" spans="1:28" x14ac:dyDescent="0.2">
      <c r="A43" s="28" t="s">
        <v>429</v>
      </c>
      <c r="B43" s="87">
        <v>0.25</v>
      </c>
      <c r="D43" s="28" t="s">
        <v>439</v>
      </c>
      <c r="I43" s="87">
        <v>0.21</v>
      </c>
      <c r="K43" s="28" t="s">
        <v>444</v>
      </c>
      <c r="P43" s="87">
        <v>0.4</v>
      </c>
    </row>
    <row r="44" spans="1:28" x14ac:dyDescent="0.2">
      <c r="A44" s="28" t="s">
        <v>432</v>
      </c>
      <c r="B44" s="87">
        <v>0.21</v>
      </c>
      <c r="D44" s="28" t="s">
        <v>440</v>
      </c>
      <c r="I44" s="87">
        <v>0.31</v>
      </c>
      <c r="K44" s="28" t="s">
        <v>445</v>
      </c>
      <c r="P44" s="87">
        <v>0.09</v>
      </c>
    </row>
    <row r="45" spans="1:28" x14ac:dyDescent="0.2">
      <c r="A45" s="28" t="s">
        <v>431</v>
      </c>
      <c r="B45" s="87">
        <v>0.2</v>
      </c>
      <c r="D45" s="28" t="s">
        <v>441</v>
      </c>
      <c r="I45" s="87">
        <v>0.19</v>
      </c>
      <c r="K45" s="28" t="s">
        <v>446</v>
      </c>
      <c r="P45" s="87">
        <v>0.08</v>
      </c>
    </row>
    <row r="46" spans="1:28" x14ac:dyDescent="0.2">
      <c r="A46" s="28" t="s">
        <v>430</v>
      </c>
      <c r="B46" s="87">
        <v>0.04</v>
      </c>
      <c r="D46" s="28" t="s">
        <v>437</v>
      </c>
      <c r="I46" s="87">
        <v>0.03</v>
      </c>
      <c r="K46" s="28" t="s">
        <v>447</v>
      </c>
      <c r="P46" s="87">
        <v>0</v>
      </c>
    </row>
    <row r="47" spans="1:28" x14ac:dyDescent="0.2">
      <c r="B47" s="88">
        <f>SUM($B$41:$B$46)</f>
        <v>1</v>
      </c>
      <c r="I47" s="88">
        <f>SUM($I$41:$I$46)</f>
        <v>1</v>
      </c>
      <c r="P47" s="88">
        <f>SUM($P$41:$P$46)</f>
        <v>1</v>
      </c>
    </row>
    <row r="48" spans="1:28" x14ac:dyDescent="0.2">
      <c r="C48" s="28" t="s">
        <v>822</v>
      </c>
    </row>
    <row r="49" spans="1:6" x14ac:dyDescent="0.2">
      <c r="A49" s="106" t="s">
        <v>816</v>
      </c>
      <c r="B49" s="28" t="s">
        <v>817</v>
      </c>
      <c r="C49" s="28" t="s">
        <v>823</v>
      </c>
      <c r="D49" s="28" t="s">
        <v>824</v>
      </c>
      <c r="E49" s="28" t="s">
        <v>825</v>
      </c>
      <c r="F49" s="28" t="s">
        <v>836</v>
      </c>
    </row>
    <row r="50" spans="1:6" x14ac:dyDescent="0.2">
      <c r="A50" s="107" t="s">
        <v>1178</v>
      </c>
      <c r="B50" s="89">
        <v>0.105</v>
      </c>
      <c r="C50" s="90">
        <v>14000</v>
      </c>
      <c r="D50" s="90">
        <f>$C$50*(1-$B$50)</f>
        <v>12530</v>
      </c>
      <c r="E50" s="90">
        <f>$C$50-$D$50</f>
        <v>1470</v>
      </c>
    </row>
    <row r="51" spans="1:6" x14ac:dyDescent="0.2">
      <c r="A51" s="107" t="s">
        <v>1179</v>
      </c>
      <c r="B51" s="89">
        <v>0.17499999999999999</v>
      </c>
      <c r="C51" s="90">
        <v>48000</v>
      </c>
      <c r="D51" s="90">
        <f>$C$51*(1-$B$51)+$C$50*($B$51-$B$50)</f>
        <v>40580</v>
      </c>
      <c r="E51" s="90">
        <f>$C$51-$D$51</f>
        <v>7420</v>
      </c>
      <c r="F51" s="90">
        <f>$C$50*($B$51-$B$50)</f>
        <v>979.99999999999989</v>
      </c>
    </row>
    <row r="52" spans="1:6" x14ac:dyDescent="0.2">
      <c r="A52" s="107" t="s">
        <v>1180</v>
      </c>
      <c r="B52" s="89">
        <v>0.3</v>
      </c>
      <c r="C52" s="90">
        <v>70000</v>
      </c>
      <c r="D52" s="90">
        <f>$C$52*(1-$B$52)+$C$51*($B$52-$B$51)+$C$50*($B$51-$B$50)</f>
        <v>55980</v>
      </c>
      <c r="E52" s="90">
        <f>$C$52-$D$52</f>
        <v>14020</v>
      </c>
      <c r="F52" s="90">
        <f>$C$51*($B$52-$B$51)+$C$50*($B$51-$B$50)</f>
        <v>6980</v>
      </c>
    </row>
    <row r="53" spans="1:6" x14ac:dyDescent="0.2">
      <c r="A53" s="107" t="s">
        <v>818</v>
      </c>
      <c r="B53" s="89">
        <v>0.33</v>
      </c>
      <c r="C53" s="90"/>
      <c r="D53" s="90"/>
      <c r="F53" s="90">
        <f>$C$52*($B$53-$B$52)+$C$51*($B$52-$B$51)+$C$50*($B$51-$B$50)</f>
        <v>9080.0000000000018</v>
      </c>
    </row>
    <row r="54" spans="1:6" x14ac:dyDescent="0.2">
      <c r="A54" s="107" t="s">
        <v>821</v>
      </c>
      <c r="B54" s="91">
        <v>1.3899999999999999E-2</v>
      </c>
    </row>
  </sheetData>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pane xSplit="1" ySplit="5" topLeftCell="H15" activePane="bottomRight" state="frozen"/>
      <selection pane="topRight" activeCell="B1" sqref="B1"/>
      <selection pane="bottomLeft" activeCell="A6" sqref="A6"/>
      <selection pane="bottomRight" activeCell="S18" sqref="S18:T18"/>
    </sheetView>
  </sheetViews>
  <sheetFormatPr defaultRowHeight="14.25" x14ac:dyDescent="0.2"/>
  <cols>
    <col min="1" max="1" width="60.7109375" style="1" customWidth="1"/>
    <col min="2" max="28" width="10.7109375" style="1" customWidth="1"/>
    <col min="29" max="16384" width="9.140625" style="1"/>
  </cols>
  <sheetData>
    <row r="1" spans="1:28" ht="15" x14ac:dyDescent="0.25">
      <c r="A1" s="2" t="s">
        <v>845</v>
      </c>
    </row>
    <row r="2" spans="1:28" ht="15.75" x14ac:dyDescent="0.25">
      <c r="A2" s="4" t="s">
        <v>846</v>
      </c>
      <c r="E2" s="112" t="s">
        <v>841</v>
      </c>
      <c r="F2" s="28"/>
      <c r="G2" s="28"/>
      <c r="H2" s="28"/>
    </row>
    <row r="4" spans="1:28" ht="15" x14ac:dyDescent="0.25">
      <c r="A4" s="2" t="s">
        <v>11</v>
      </c>
      <c r="B4" s="5" t="s">
        <v>12</v>
      </c>
      <c r="C4" s="5" t="s">
        <v>13</v>
      </c>
      <c r="D4" s="5" t="s">
        <v>14</v>
      </c>
      <c r="E4" s="5" t="s">
        <v>15</v>
      </c>
      <c r="F4" s="5" t="s">
        <v>17</v>
      </c>
      <c r="G4" s="5" t="s">
        <v>16</v>
      </c>
      <c r="H4" s="5" t="s">
        <v>18</v>
      </c>
      <c r="I4" s="5" t="s">
        <v>19</v>
      </c>
      <c r="J4" s="5" t="s">
        <v>20</v>
      </c>
      <c r="K4" s="5" t="s">
        <v>21</v>
      </c>
      <c r="L4" s="5" t="s">
        <v>23</v>
      </c>
      <c r="M4" s="5" t="s">
        <v>24</v>
      </c>
      <c r="N4" s="5" t="s">
        <v>25</v>
      </c>
      <c r="O4" s="5" t="s">
        <v>26</v>
      </c>
      <c r="P4" s="5" t="s">
        <v>27</v>
      </c>
      <c r="Q4" s="5" t="s">
        <v>28</v>
      </c>
      <c r="R4" s="5" t="s">
        <v>29</v>
      </c>
      <c r="S4" s="5" t="s">
        <v>30</v>
      </c>
      <c r="T4" s="5" t="s">
        <v>31</v>
      </c>
      <c r="U4" s="5" t="s">
        <v>32</v>
      </c>
      <c r="V4" s="5" t="s">
        <v>33</v>
      </c>
      <c r="W4" s="5" t="s">
        <v>34</v>
      </c>
      <c r="X4" s="5" t="s">
        <v>35</v>
      </c>
      <c r="Y4" s="5" t="s">
        <v>36</v>
      </c>
      <c r="Z4" s="5" t="s">
        <v>37</v>
      </c>
      <c r="AA4" s="5" t="s">
        <v>38</v>
      </c>
      <c r="AB4" s="5" t="s">
        <v>39</v>
      </c>
    </row>
    <row r="5" spans="1:28" ht="15" x14ac:dyDescent="0.25">
      <c r="B5" s="2">
        <v>2006</v>
      </c>
      <c r="C5" s="2">
        <v>2007</v>
      </c>
      <c r="D5" s="2">
        <v>2008</v>
      </c>
      <c r="E5" s="2">
        <v>2009</v>
      </c>
      <c r="F5" s="2">
        <v>2010</v>
      </c>
      <c r="G5" s="2">
        <v>2011</v>
      </c>
      <c r="H5" s="2">
        <v>2012</v>
      </c>
      <c r="I5" s="2">
        <v>2013</v>
      </c>
      <c r="J5" s="2">
        <v>2014</v>
      </c>
      <c r="K5" s="2">
        <v>2015</v>
      </c>
      <c r="L5" s="2">
        <v>2016</v>
      </c>
      <c r="M5" s="2">
        <v>2017</v>
      </c>
      <c r="N5" s="2">
        <v>2018</v>
      </c>
      <c r="O5" s="2">
        <v>2019</v>
      </c>
      <c r="P5" s="2">
        <v>2020</v>
      </c>
      <c r="Q5" s="2">
        <v>2021</v>
      </c>
      <c r="R5" s="2">
        <v>2022</v>
      </c>
      <c r="S5" s="2">
        <v>2023</v>
      </c>
      <c r="T5" s="2">
        <v>2024</v>
      </c>
      <c r="U5" s="2">
        <v>2025</v>
      </c>
      <c r="V5" s="2">
        <v>2026</v>
      </c>
      <c r="W5" s="2">
        <v>2027</v>
      </c>
      <c r="X5" s="2">
        <v>2028</v>
      </c>
      <c r="Y5" s="2">
        <v>2029</v>
      </c>
      <c r="Z5" s="2">
        <v>2030</v>
      </c>
      <c r="AA5" s="2">
        <v>2031</v>
      </c>
      <c r="AB5" s="2">
        <v>2032</v>
      </c>
    </row>
    <row r="6" spans="1:28" ht="15" x14ac:dyDescent="0.25">
      <c r="A6" s="2"/>
      <c r="B6" s="2"/>
      <c r="C6" s="2"/>
      <c r="D6" s="2"/>
      <c r="E6" s="2"/>
      <c r="F6" s="2"/>
      <c r="G6" s="45" t="s">
        <v>489</v>
      </c>
      <c r="H6" s="2"/>
      <c r="I6" s="2"/>
      <c r="J6" s="2"/>
      <c r="K6" s="2"/>
      <c r="L6" s="2"/>
      <c r="M6" s="7"/>
      <c r="N6" s="66">
        <f ca="1">OFFSET('Fiscal Forecasts'!$B$159,0,N$5-'Fiscal Forecasts'!$E$7+3)/AVERAGE(OFFSET('Fiscal Forecasts'!$B$178,0,N$5-'Fiscal Forecasts'!$E$7+2),OFFSET('Fiscal Forecasts'!$B$178,0,N$5-'Fiscal Forecasts'!$E$7+3))</f>
        <v>3.6485686907984649E-2</v>
      </c>
      <c r="O6" s="66">
        <f ca="1">OFFSET('Fiscal Forecasts'!$B$159,0,O$5-'Fiscal Forecasts'!$E$7+3)/AVERAGE(OFFSET('Fiscal Forecasts'!$B$178,0,O$5-'Fiscal Forecasts'!$E$7+2),OFFSET('Fiscal Forecasts'!$B$178,0,O$5-'Fiscal Forecasts'!$E$7+3))</f>
        <v>3.608201034393313E-2</v>
      </c>
      <c r="P6" s="66">
        <f ca="1">OFFSET('Fiscal Forecasts'!$B$159,0,P$5-'Fiscal Forecasts'!$E$7+3)/AVERAGE(OFFSET('Fiscal Forecasts'!$B$178,0,P$5-'Fiscal Forecasts'!$E$7+2),OFFSET('Fiscal Forecasts'!$B$178,0,P$5-'Fiscal Forecasts'!$E$7+3))</f>
        <v>3.620016817231194E-2</v>
      </c>
      <c r="Q6" s="66">
        <f ca="1">OFFSET('Fiscal Forecasts'!$B$159,0,Q$5-'Fiscal Forecasts'!$E$7+3)/AVERAGE(OFFSET('Fiscal Forecasts'!$B$178,0,Q$5-'Fiscal Forecasts'!$E$7+2),OFFSET('Fiscal Forecasts'!$B$178,0,Q$5-'Fiscal Forecasts'!$E$7+3))</f>
        <v>3.7737466382367746E-2</v>
      </c>
      <c r="R6" s="66">
        <f ca="1">OFFSET('Fiscal Forecasts'!$B$159,0,R$5-'Fiscal Forecasts'!$E$7+3)/AVERAGE(OFFSET('Fiscal Forecasts'!$B$178,0,R$5-'Fiscal Forecasts'!$E$7+2),OFFSET('Fiscal Forecasts'!$B$178,0,R$5-'Fiscal Forecasts'!$E$7+3))</f>
        <v>3.455093745902714E-2</v>
      </c>
      <c r="S6" s="2"/>
      <c r="T6" s="2"/>
      <c r="U6" s="2"/>
      <c r="V6" s="2"/>
      <c r="W6" s="2"/>
      <c r="X6" s="2"/>
      <c r="Y6" s="2"/>
      <c r="Z6" s="2"/>
      <c r="AA6" s="2"/>
      <c r="AB6" s="2"/>
    </row>
    <row r="7" spans="1:28" ht="15" x14ac:dyDescent="0.25">
      <c r="G7" s="1" t="s">
        <v>864</v>
      </c>
      <c r="M7" s="7"/>
      <c r="N7" s="6">
        <f ca="1">ROUND(N$6/2*(1+N$6/2)*(N$20-Exogenous!N$9),3)</f>
        <v>0</v>
      </c>
      <c r="O7" s="6">
        <f ca="1">ROUND(O$6/2*(1+O$6/2)*(O$20-Exogenous!O$9),3)</f>
        <v>0</v>
      </c>
      <c r="P7" s="6">
        <f ca="1">ROUND(P$6/2*(1+P$6/2)*(P$20-Exogenous!P$9),3)</f>
        <v>0</v>
      </c>
      <c r="Q7" s="6">
        <f ca="1">ROUND(Q$6/2*(1+Q$6/2)*(Q$20-Exogenous!Q$9),3)</f>
        <v>0</v>
      </c>
      <c r="R7" s="6">
        <f ca="1">ROUND(R$6/2*(1+R$6/2)*(R$20-Exogenous!R$9),3)</f>
        <v>0</v>
      </c>
      <c r="S7" s="2"/>
      <c r="T7" s="2"/>
      <c r="U7" s="2"/>
      <c r="V7" s="7"/>
      <c r="W7" s="7"/>
    </row>
    <row r="8" spans="1:28" ht="15" x14ac:dyDescent="0.25">
      <c r="A8" s="4"/>
      <c r="B8" s="4"/>
      <c r="C8" s="4"/>
      <c r="D8" s="4"/>
      <c r="E8" s="4"/>
      <c r="F8" s="4"/>
      <c r="G8" s="1" t="s">
        <v>865</v>
      </c>
      <c r="H8" s="4"/>
      <c r="I8" s="4"/>
      <c r="J8" s="4"/>
      <c r="K8" s="4"/>
      <c r="L8" s="4"/>
      <c r="M8" s="7"/>
      <c r="N8" s="6">
        <f ca="1">ROUND(N$6*SUM($K$10:M$10),3)</f>
        <v>0</v>
      </c>
      <c r="O8" s="6">
        <f ca="1">ROUND(O$6*SUM($K$10:N$10),3)</f>
        <v>0</v>
      </c>
      <c r="P8" s="6">
        <f ca="1">ROUND(P$6*SUM($K$10:O$10),3)</f>
        <v>0</v>
      </c>
      <c r="Q8" s="6">
        <f ca="1">ROUND(Q$6*SUM($K$10:P$10),3)</f>
        <v>0</v>
      </c>
      <c r="R8" s="6">
        <f ca="1">ROUND(R$6*SUM($K$10:Q$10),3)</f>
        <v>0</v>
      </c>
      <c r="S8" s="2"/>
      <c r="T8" s="2"/>
      <c r="U8" s="2"/>
      <c r="V8" s="7"/>
      <c r="W8" s="7"/>
      <c r="Z8" s="4"/>
      <c r="AA8" s="4"/>
      <c r="AB8" s="4"/>
    </row>
    <row r="9" spans="1:28" ht="15" x14ac:dyDescent="0.25">
      <c r="G9" s="2" t="s">
        <v>866</v>
      </c>
      <c r="M9" s="7"/>
      <c r="N9" s="7">
        <f ca="1">SUM(N$7:N$8)</f>
        <v>0</v>
      </c>
      <c r="O9" s="7">
        <f ca="1">SUM(O$7:O$8)</f>
        <v>0</v>
      </c>
      <c r="P9" s="7">
        <f ca="1">SUM(P$7:P$8)</f>
        <v>0</v>
      </c>
      <c r="Q9" s="7">
        <f ca="1">SUM(Q$7:Q$8)</f>
        <v>0</v>
      </c>
      <c r="R9" s="7">
        <f ca="1">SUM(R$7:R$8)</f>
        <v>0</v>
      </c>
      <c r="S9" s="2"/>
      <c r="T9" s="2"/>
      <c r="U9" s="2"/>
      <c r="V9" s="7"/>
      <c r="W9" s="7"/>
    </row>
    <row r="10" spans="1:28" ht="15" x14ac:dyDescent="0.25">
      <c r="G10" s="1" t="s">
        <v>881</v>
      </c>
      <c r="M10" s="7"/>
      <c r="N10" s="6">
        <f ca="1">ROUND(SUM(N$20-Exogenous!N$9,N$9),3)</f>
        <v>0</v>
      </c>
      <c r="O10" s="6">
        <f ca="1">ROUND(SUM(O$20-Exogenous!O$9,O$9),3)</f>
        <v>0</v>
      </c>
      <c r="P10" s="6">
        <f ca="1">ROUND(SUM(P$20-Exogenous!P$9,P$9),3)</f>
        <v>0</v>
      </c>
      <c r="Q10" s="6">
        <f ca="1">ROUND(SUM(Q$20-Exogenous!Q$9,Q$9),3)</f>
        <v>0</v>
      </c>
      <c r="R10" s="6">
        <f ca="1">ROUND(SUM(R$20-Exogenous!R$9,R$9),3)</f>
        <v>0</v>
      </c>
      <c r="S10" s="2"/>
      <c r="T10" s="2"/>
      <c r="U10" s="2"/>
      <c r="V10" s="7"/>
      <c r="W10" s="7"/>
    </row>
    <row r="11" spans="1:28" ht="15" x14ac:dyDescent="0.25">
      <c r="A11" s="2"/>
      <c r="B11" s="2"/>
      <c r="C11" s="2"/>
      <c r="D11" s="2"/>
      <c r="E11" s="2"/>
      <c r="F11" s="2"/>
      <c r="G11" s="2" t="s">
        <v>867</v>
      </c>
      <c r="H11" s="2"/>
      <c r="I11" s="2"/>
      <c r="J11" s="2"/>
      <c r="K11" s="2"/>
      <c r="L11" s="2"/>
      <c r="M11" s="7"/>
      <c r="N11" s="7">
        <f ca="1">SUM($K$10:N$10)</f>
        <v>0</v>
      </c>
      <c r="O11" s="7">
        <f ca="1">SUM($K$10:O$10)</f>
        <v>0</v>
      </c>
      <c r="P11" s="7">
        <f ca="1">SUM($K$10:P$10)</f>
        <v>0</v>
      </c>
      <c r="Q11" s="7">
        <f ca="1">SUM($K$10:Q$10)</f>
        <v>0</v>
      </c>
      <c r="R11" s="7">
        <f ca="1">SUM($K$10:R$10)</f>
        <v>0</v>
      </c>
      <c r="S11" s="2"/>
      <c r="T11" s="2"/>
      <c r="U11" s="2"/>
      <c r="V11" s="7"/>
      <c r="W11" s="7"/>
      <c r="Z11" s="2"/>
      <c r="AA11" s="2"/>
      <c r="AB11" s="2"/>
    </row>
    <row r="12" spans="1:28" ht="15" x14ac:dyDescent="0.25">
      <c r="B12" s="2"/>
      <c r="C12" s="2"/>
      <c r="D12" s="7"/>
      <c r="E12" s="7"/>
      <c r="F12" s="7"/>
      <c r="H12" s="7"/>
      <c r="I12" s="7"/>
      <c r="J12" s="7"/>
      <c r="K12" s="7"/>
      <c r="L12" s="7"/>
      <c r="M12" s="7"/>
      <c r="N12" s="7"/>
      <c r="O12" s="7"/>
      <c r="P12" s="7"/>
      <c r="Q12" s="7"/>
      <c r="R12" s="7"/>
      <c r="S12" s="2"/>
      <c r="T12" s="2"/>
      <c r="U12" s="2"/>
      <c r="V12" s="7"/>
      <c r="W12" s="7"/>
      <c r="Z12" s="7"/>
      <c r="AA12" s="7"/>
      <c r="AB12" s="7"/>
    </row>
    <row r="13" spans="1:28" ht="15" x14ac:dyDescent="0.25">
      <c r="A13" s="4"/>
      <c r="B13" s="2"/>
      <c r="C13" s="2"/>
      <c r="D13" s="7"/>
      <c r="E13" s="7"/>
      <c r="F13" s="7"/>
      <c r="G13" s="7"/>
      <c r="H13" s="7"/>
      <c r="I13" s="7" t="s">
        <v>857</v>
      </c>
      <c r="J13" s="7"/>
      <c r="K13" s="7"/>
      <c r="L13" s="7"/>
      <c r="M13" s="7"/>
      <c r="N13" s="7"/>
      <c r="O13" s="7"/>
      <c r="P13" s="7"/>
      <c r="Q13" s="7"/>
      <c r="R13" s="7"/>
      <c r="S13" s="2"/>
      <c r="T13" s="2"/>
      <c r="U13" s="2"/>
      <c r="V13" s="7"/>
      <c r="W13" s="7"/>
      <c r="Z13" s="7"/>
      <c r="AA13" s="7"/>
      <c r="AB13" s="7"/>
    </row>
    <row r="14" spans="1:28" ht="15" x14ac:dyDescent="0.25">
      <c r="A14" s="4"/>
      <c r="B14" s="2"/>
      <c r="C14" s="2"/>
      <c r="D14" s="7"/>
      <c r="E14" s="7"/>
      <c r="F14" s="7"/>
      <c r="G14" s="7"/>
      <c r="H14" s="7"/>
      <c r="I14" s="7"/>
      <c r="J14" s="1" t="s">
        <v>365</v>
      </c>
      <c r="K14" s="7"/>
      <c r="L14" s="7"/>
      <c r="M14" s="38"/>
      <c r="N14" s="15">
        <v>0.80400000000000005</v>
      </c>
      <c r="O14" s="15">
        <v>0.93700000000000006</v>
      </c>
      <c r="P14" s="15">
        <v>1.0189999999999999</v>
      </c>
      <c r="Q14" s="15">
        <v>1.117</v>
      </c>
      <c r="R14" s="15">
        <v>1.236</v>
      </c>
      <c r="S14" s="2"/>
      <c r="T14" s="2"/>
      <c r="U14" s="2"/>
      <c r="V14" s="7"/>
      <c r="W14" s="7"/>
      <c r="Z14" s="7"/>
      <c r="AA14" s="7"/>
      <c r="AB14" s="7"/>
    </row>
    <row r="15" spans="1:28" ht="15" x14ac:dyDescent="0.25">
      <c r="B15" s="2"/>
      <c r="C15" s="2"/>
      <c r="D15" s="7"/>
      <c r="E15" s="7"/>
      <c r="F15" s="7"/>
      <c r="G15" s="7"/>
      <c r="H15" s="7"/>
      <c r="I15" s="7"/>
      <c r="J15" s="1" t="s">
        <v>852</v>
      </c>
      <c r="K15" s="7"/>
      <c r="L15" s="7"/>
      <c r="M15" s="38"/>
      <c r="N15" s="15">
        <v>0.24199999999999999</v>
      </c>
      <c r="O15" s="15">
        <v>0.20499999999999999</v>
      </c>
      <c r="P15" s="15">
        <v>0.218</v>
      </c>
      <c r="Q15" s="15">
        <v>0.23200000000000001</v>
      </c>
      <c r="R15" s="15">
        <v>0.247</v>
      </c>
      <c r="S15" s="2"/>
      <c r="T15" s="2"/>
      <c r="U15" s="2"/>
      <c r="V15" s="7"/>
      <c r="W15" s="7"/>
      <c r="Z15" s="7"/>
      <c r="AA15" s="7"/>
      <c r="AB15" s="7"/>
    </row>
    <row r="16" spans="1:28" ht="15" x14ac:dyDescent="0.25">
      <c r="A16" s="4"/>
      <c r="B16" s="2"/>
      <c r="C16" s="2"/>
      <c r="D16" s="7"/>
      <c r="E16" s="7"/>
      <c r="F16" s="7"/>
      <c r="G16" s="7"/>
      <c r="H16" s="7"/>
      <c r="I16" s="7"/>
      <c r="J16" s="1" t="s">
        <v>377</v>
      </c>
      <c r="K16" s="7"/>
      <c r="L16" s="7"/>
      <c r="M16" s="38"/>
      <c r="N16" s="15">
        <v>3.8959999999999999</v>
      </c>
      <c r="O16" s="15">
        <v>2.641</v>
      </c>
      <c r="P16" s="15">
        <v>2.8969999999999998</v>
      </c>
      <c r="Q16" s="15">
        <v>3.2090000000000001</v>
      </c>
      <c r="R16" s="15">
        <v>3.593</v>
      </c>
      <c r="S16" s="7"/>
      <c r="T16" s="7"/>
      <c r="U16" s="2"/>
      <c r="V16" s="7"/>
      <c r="W16" s="7"/>
      <c r="Z16" s="7"/>
      <c r="AA16" s="7"/>
      <c r="AB16" s="7"/>
    </row>
    <row r="17" spans="1:28" ht="15" x14ac:dyDescent="0.25">
      <c r="B17" s="2"/>
      <c r="C17" s="2"/>
      <c r="D17" s="7"/>
      <c r="E17" s="7"/>
      <c r="F17" s="7"/>
      <c r="G17" s="7"/>
      <c r="H17" s="7"/>
      <c r="I17" s="7"/>
      <c r="J17" s="7" t="s">
        <v>861</v>
      </c>
      <c r="K17" s="7"/>
      <c r="L17" s="7"/>
      <c r="M17" s="38"/>
      <c r="N17" s="38">
        <f>N$14-N$15+N$16</f>
        <v>4.4580000000000002</v>
      </c>
      <c r="O17" s="38">
        <f>O$14-O$15+O$16</f>
        <v>3.3730000000000002</v>
      </c>
      <c r="P17" s="38">
        <f>P$14-P$15+P$16</f>
        <v>3.6979999999999995</v>
      </c>
      <c r="Q17" s="38">
        <f>Q$14-Q$15+Q$16</f>
        <v>4.0940000000000003</v>
      </c>
      <c r="R17" s="38">
        <f>R$14-R$15+R$16</f>
        <v>4.5819999999999999</v>
      </c>
      <c r="S17" s="7"/>
      <c r="T17" s="7"/>
      <c r="U17" s="2"/>
      <c r="V17" s="7"/>
      <c r="W17" s="7"/>
      <c r="Z17" s="7"/>
      <c r="AA17" s="7"/>
      <c r="AB17" s="7"/>
    </row>
    <row r="18" spans="1:28" ht="15" x14ac:dyDescent="0.25">
      <c r="B18" s="2"/>
      <c r="C18" s="2"/>
      <c r="D18" s="7"/>
      <c r="E18" s="7"/>
      <c r="F18" s="7"/>
      <c r="G18" s="7"/>
      <c r="H18" s="7"/>
      <c r="I18" s="7"/>
      <c r="J18" s="7"/>
      <c r="K18" s="7"/>
      <c r="L18" s="7"/>
      <c r="M18" s="38"/>
      <c r="N18" s="38"/>
      <c r="O18" s="38"/>
      <c r="P18" s="38"/>
      <c r="Q18" s="38"/>
      <c r="R18" s="7"/>
      <c r="S18" s="7"/>
      <c r="T18" s="7"/>
      <c r="U18" s="7"/>
      <c r="V18" s="7"/>
      <c r="W18" s="7"/>
      <c r="X18" s="7"/>
      <c r="Y18" s="7"/>
      <c r="Z18" s="7"/>
      <c r="AA18" s="7"/>
      <c r="AB18" s="7"/>
    </row>
    <row r="19" spans="1:28" ht="15" x14ac:dyDescent="0.25">
      <c r="A19" s="2" t="s">
        <v>850</v>
      </c>
      <c r="B19" s="2" t="s">
        <v>83</v>
      </c>
      <c r="C19" s="2"/>
      <c r="D19" s="7"/>
      <c r="E19" s="7"/>
      <c r="F19" s="7"/>
      <c r="G19" s="7"/>
      <c r="I19" s="7" t="s">
        <v>863</v>
      </c>
      <c r="J19" s="7"/>
      <c r="K19" s="7"/>
      <c r="L19" s="7"/>
      <c r="M19" s="7"/>
      <c r="N19" s="65">
        <v>1</v>
      </c>
      <c r="O19" s="7"/>
      <c r="P19" s="7"/>
      <c r="Q19" s="7"/>
      <c r="R19" s="7"/>
      <c r="S19" s="7"/>
      <c r="T19" s="7"/>
      <c r="U19" s="7"/>
      <c r="V19" s="7"/>
      <c r="W19" s="7"/>
      <c r="X19" s="7"/>
      <c r="Y19" s="7"/>
      <c r="Z19" s="7"/>
      <c r="AA19" s="7"/>
      <c r="AB19" s="7"/>
    </row>
    <row r="20" spans="1:28" x14ac:dyDescent="0.2">
      <c r="A20" s="1" t="s">
        <v>85</v>
      </c>
      <c r="C20" s="14">
        <v>2.048</v>
      </c>
      <c r="D20" s="14">
        <v>2.1040000000000001</v>
      </c>
      <c r="E20" s="14">
        <v>2.2429999999999999</v>
      </c>
      <c r="F20" s="14">
        <v>0.25</v>
      </c>
      <c r="G20" s="14">
        <v>0</v>
      </c>
      <c r="H20" s="14">
        <v>0</v>
      </c>
      <c r="I20" s="14">
        <v>0</v>
      </c>
      <c r="J20" s="14">
        <v>0</v>
      </c>
      <c r="K20" s="14">
        <v>0</v>
      </c>
      <c r="L20" s="14">
        <v>0</v>
      </c>
      <c r="M20" s="14">
        <v>0</v>
      </c>
      <c r="N20" s="92">
        <f>IF($N$19=1,N$29,IF($N$19=2,N$35,Exogenous!N$9))</f>
        <v>0.5</v>
      </c>
      <c r="O20" s="92">
        <f>IF($N$19=1,O$29,IF($N$19=2,O$35,Exogenous!O$9))</f>
        <v>1</v>
      </c>
      <c r="P20" s="92">
        <f>IF($N$19=1,P$29,IF($N$19=2,P$35,Exogenous!P$9))</f>
        <v>1.5</v>
      </c>
      <c r="Q20" s="92">
        <f>IF($N$19=1,Q$29,IF($N$19=2,Q$35,Exogenous!Q$9))</f>
        <v>2.2000000000000002</v>
      </c>
      <c r="R20" s="92">
        <f>IF($N$19=1,R$29,IF($N$19=2,R$35,Exogenous!R$9))</f>
        <v>2.5</v>
      </c>
      <c r="S20" s="96">
        <f>IF($N$19=1,S$29,IF($N$19=2,S$35,Exogenous!S$9))</f>
        <v>2.6509999999999998</v>
      </c>
      <c r="T20" s="96">
        <f>IF($N$19=1,T$29,IF($N$19=2,T$35,Exogenous!T$9))</f>
        <v>2.54</v>
      </c>
      <c r="U20" s="96">
        <f>IF($N$19=1,U$29,IF($N$19=2,U$35,Exogenous!U$9))</f>
        <v>2.3679999999999999</v>
      </c>
      <c r="V20" s="96">
        <f>IF($N$19=1,V$29,IF($N$19=2,V$35,Exogenous!V$9))</f>
        <v>2.137</v>
      </c>
      <c r="W20" s="96">
        <f>IF($N$19=1,W$29,IF($N$19=2,W$35,Exogenous!W$9))</f>
        <v>1.8720000000000001</v>
      </c>
      <c r="X20" s="96">
        <f>IF($N$19=1,X$29,IF($N$19=2,X$35,Exogenous!X$9))</f>
        <v>1.595</v>
      </c>
      <c r="Y20" s="96">
        <f>IF($N$19=1,Y$29,IF($N$19=2,Y$35,Exogenous!Y$9))</f>
        <v>1.323</v>
      </c>
      <c r="Z20" s="96">
        <f>IF($N$19=1,Z$29,IF($N$19=2,Z$35,Exogenous!Z$9))</f>
        <v>1.0920000000000001</v>
      </c>
      <c r="AA20" s="96">
        <f>IF($N$19=1,AA$29,IF($N$19=2,AA$35,Exogenous!AA$9))</f>
        <v>0.86699999999999999</v>
      </c>
      <c r="AB20" s="96">
        <f>IF($N$19=1,AB$29,IF($N$19=2,AB$35,Exogenous!AB$9))</f>
        <v>0.63400000000000001</v>
      </c>
    </row>
    <row r="21" spans="1:28" ht="15" x14ac:dyDescent="0.25">
      <c r="A21" s="1" t="s">
        <v>365</v>
      </c>
      <c r="B21" s="2"/>
      <c r="C21" s="14">
        <v>0.436</v>
      </c>
      <c r="D21" s="14">
        <v>0.38500000000000001</v>
      </c>
      <c r="E21" s="14">
        <v>0.38300000000000001</v>
      </c>
      <c r="F21" s="14">
        <v>0.433</v>
      </c>
      <c r="G21" s="14">
        <v>0.51800000000000002</v>
      </c>
      <c r="H21" s="14">
        <v>0.53900000000000003</v>
      </c>
      <c r="I21" s="14">
        <v>0.59499999999999997</v>
      </c>
      <c r="J21" s="14">
        <v>0.76700000000000002</v>
      </c>
      <c r="K21" s="14">
        <v>0.76</v>
      </c>
      <c r="L21" s="14">
        <v>0.752</v>
      </c>
      <c r="M21" s="14">
        <v>0.83299999999999996</v>
      </c>
      <c r="N21" s="92">
        <f>IF($N$19=1,N$30,IF($N$19=2,N$36,Exogenous!N$7))*N$14/N$17</f>
        <v>0.80400000000000005</v>
      </c>
      <c r="O21" s="92">
        <f>IF($N$19=1,O$30,IF($N$19=2,O$36,Exogenous!O$7))*O$14/O$17</f>
        <v>0.93700000000000006</v>
      </c>
      <c r="P21" s="92">
        <f>IF($N$19=1,P$30,IF($N$19=2,P$36,Exogenous!P$7))*P$14/P$17</f>
        <v>1.0189999999999999</v>
      </c>
      <c r="Q21" s="92">
        <f>IF($N$19=1,Q$30,IF($N$19=2,Q$36,Exogenous!Q$7))*Q$14/Q$17</f>
        <v>1.117</v>
      </c>
      <c r="R21" s="92">
        <f>IF($N$19=1,R$30,IF($N$19=2,R$36,Exogenous!R$7))*R$14/R$17</f>
        <v>1.236</v>
      </c>
      <c r="S21" s="96">
        <f>R$21*IF($N$19=1,S$30/R$30,IF($N$19=2,S$36/R$36,Exogenous!S$7/Exogenous!R$7))</f>
        <v>1.1045623746396414</v>
      </c>
      <c r="T21" s="96">
        <f>S$21*IF($N$19=1,T$30/S$30,IF($N$19=2,T$36/S$36,Exogenous!T$7/Exogenous!S$7))</f>
        <v>1.2465109235899277</v>
      </c>
      <c r="U21" s="96">
        <f>T$21*IF($N$19=1,U$30/T$30,IF($N$19=2,U$36/T$36,Exogenous!U$7/Exogenous!T$7))</f>
        <v>1.3998602113625358</v>
      </c>
      <c r="V21" s="96">
        <f>U$21*IF($N$19=1,V$30/U$30,IF($N$19=2,V$36/U$36,Exogenous!V$7/Exogenous!U$7))</f>
        <v>1.5644819716811542</v>
      </c>
      <c r="W21" s="96">
        <f>V$21*IF($N$19=1,W$30/V$30,IF($N$19=2,W$36/V$36,Exogenous!W$7/Exogenous!V$7))</f>
        <v>1.7404495232058066</v>
      </c>
      <c r="X21" s="96">
        <f>W$21*IF($N$19=1,X$30/W$30,IF($N$19=2,X$36/W$36,Exogenous!X$7/Exogenous!W$7))</f>
        <v>1.8818777087565852</v>
      </c>
      <c r="Y21" s="96">
        <f>X$21*IF($N$19=1,Y$30/X$30,IF($N$19=2,Y$36/X$36,Exogenous!Y$7/Exogenous!X$7))</f>
        <v>2.0237102231495068</v>
      </c>
      <c r="Z21" s="96">
        <f>Y$21*IF($N$19=1,Z$30/Y$30,IF($N$19=2,Z$36/Y$36,Exogenous!Z$7/Exogenous!Y$7))</f>
        <v>2.1686938417597399</v>
      </c>
      <c r="AA21" s="96">
        <f>Z$21*IF($N$19=1,AA$30/Z$30,IF($N$19=2,AA$36/Z$36,Exogenous!AA$7/Exogenous!Z$7))</f>
        <v>2.3175206206339181</v>
      </c>
      <c r="AB21" s="96">
        <f>AA$21*IF($N$19=1,AB$30/AA$30,IF($N$19=2,AB$36/AA$36,Exogenous!AB$7/Exogenous!AA$7))</f>
        <v>2.4704042422125125</v>
      </c>
    </row>
    <row r="22" spans="1:28" x14ac:dyDescent="0.2">
      <c r="A22" s="1" t="s">
        <v>855</v>
      </c>
      <c r="C22" s="14">
        <v>0.70699999999999996</v>
      </c>
      <c r="D22" s="14">
        <v>0.23699999999999999</v>
      </c>
      <c r="E22" s="14">
        <v>4.0000000000000001E-3</v>
      </c>
      <c r="F22" s="14">
        <v>-2.7E-2</v>
      </c>
      <c r="G22" s="14">
        <v>0.872</v>
      </c>
      <c r="H22" s="14">
        <v>0.16</v>
      </c>
      <c r="I22" s="14">
        <v>0.98299999999999998</v>
      </c>
      <c r="J22" s="14">
        <v>1.0740000000000001</v>
      </c>
      <c r="K22" s="14">
        <v>4.5999999999999999E-2</v>
      </c>
      <c r="L22" s="14">
        <v>0.51200000000000001</v>
      </c>
      <c r="M22" s="14">
        <v>1.139</v>
      </c>
      <c r="N22" s="92">
        <f>IF($N$19=1,N$31,IF($N$19=2,N$37,Exogenous!N$8))</f>
        <v>0.64200000000000002</v>
      </c>
      <c r="O22" s="92">
        <f>IF($N$19=1,O$31,IF($N$19=2,O$37,Exogenous!O$8))</f>
        <v>0.80700000000000005</v>
      </c>
      <c r="P22" s="92">
        <f>IF($N$19=1,P$31,IF($N$19=2,P$37,Exogenous!P$8))</f>
        <v>0.88700000000000001</v>
      </c>
      <c r="Q22" s="92">
        <f>IF($N$19=1,Q$31,IF($N$19=2,Q$37,Exogenous!Q$8))</f>
        <v>0.98299999999999998</v>
      </c>
      <c r="R22" s="92">
        <f>IF($N$19=1,R$31,IF($N$19=2,R$37,Exogenous!R$8))</f>
        <v>1.101</v>
      </c>
      <c r="S22" s="96">
        <f>IF($N$19=1,S$31,IF($N$19=2,S$37,Exogenous!S$8))</f>
        <v>0.98273879623278382</v>
      </c>
      <c r="T22" s="96">
        <f>IF($N$19=1,T$31,IF($N$19=2,T$37,Exogenous!T$8))</f>
        <v>1.1090316605609802</v>
      </c>
      <c r="U22" s="96">
        <f>IF($N$19=1,U$31,IF($N$19=2,U$37,Exogenous!U$8))</f>
        <v>1.2454678618375026</v>
      </c>
      <c r="V22" s="96">
        <f>IF($N$19=1,V$31,IF($N$19=2,V$37,Exogenous!V$8))</f>
        <v>1.3919332804355433</v>
      </c>
      <c r="W22" s="96">
        <f>IF($N$19=1,W$31,IF($N$19=2,W$37,Exogenous!W$8))</f>
        <v>1.5484931486075739</v>
      </c>
      <c r="X22" s="96">
        <f>IF($N$19=1,X$31,IF($N$19=2,X$37,Exogenous!X$8))</f>
        <v>1.6743230410723637</v>
      </c>
      <c r="Y22" s="96">
        <f>IF($N$19=1,Y$31,IF($N$19=2,Y$37,Exogenous!Y$8))</f>
        <v>1.8005126684409787</v>
      </c>
      <c r="Z22" s="96">
        <f>IF($N$19=1,Z$31,IF($N$19=2,Z$37,Exogenous!Z$8))</f>
        <v>1.9295058607656557</v>
      </c>
      <c r="AA22" s="96">
        <f>IF($N$19=1,AA$31,IF($N$19=2,AA$37,Exogenous!AA$8))</f>
        <v>2.0619183463581767</v>
      </c>
      <c r="AB22" s="96">
        <f>IF($N$19=1,AB$31,IF($N$19=2,AB$37,Exogenous!AB$8))</f>
        <v>2.1979402403529575</v>
      </c>
    </row>
    <row r="23" spans="1:28" x14ac:dyDescent="0.2">
      <c r="A23" s="1" t="s">
        <v>856</v>
      </c>
      <c r="C23" s="14">
        <v>-5.1999999999999998E-2</v>
      </c>
      <c r="D23" s="14">
        <v>3.4000000000000002E-2</v>
      </c>
      <c r="E23" s="14">
        <v>-0.32300000000000001</v>
      </c>
      <c r="F23" s="14">
        <v>0.502</v>
      </c>
      <c r="G23" s="14">
        <v>0.16900000000000001</v>
      </c>
      <c r="H23" s="14">
        <v>0.13200000000000001</v>
      </c>
      <c r="I23" s="14">
        <v>0.16500000000000001</v>
      </c>
      <c r="J23" s="14">
        <v>0.16400000000000001</v>
      </c>
      <c r="K23" s="14">
        <v>0.19800000000000001</v>
      </c>
      <c r="L23" s="14">
        <v>0.13800000000000001</v>
      </c>
      <c r="M23" s="14">
        <v>0.22700000000000001</v>
      </c>
      <c r="N23" s="92">
        <f>IF($N$19=1,N$30,IF($N$19=2,N$36,Exogenous!N$7))*N$15/N$17</f>
        <v>0.24199999999999997</v>
      </c>
      <c r="O23" s="92">
        <f>IF($N$19=1,O$30,IF($N$19=2,O$36,Exogenous!O$7))*O$15/O$17</f>
        <v>0.20499999999999999</v>
      </c>
      <c r="P23" s="92">
        <f>IF($N$19=1,P$30,IF($N$19=2,P$36,Exogenous!P$7))*P$15/P$17</f>
        <v>0.218</v>
      </c>
      <c r="Q23" s="92">
        <f>IF($N$19=1,Q$30,IF($N$19=2,Q$36,Exogenous!Q$7))*Q$15/Q$17</f>
        <v>0.23200000000000001</v>
      </c>
      <c r="R23" s="92">
        <f>IF($N$19=1,R$30,IF($N$19=2,R$36,Exogenous!R$7))*R$15/R$17</f>
        <v>0.247</v>
      </c>
      <c r="S23" s="96">
        <f>R$23*IF($N$19=1,S$30/R$30,IF($N$19=2,S$36/R$36,Exogenous!S$7/Exogenous!R$7))</f>
        <v>0.22073374315209662</v>
      </c>
      <c r="T23" s="96">
        <f>S$23*IF($N$19=1,T$30/S$30,IF($N$19=2,T$36/S$36,Exogenous!T$7/Exogenous!S$7))</f>
        <v>0.24910048392128814</v>
      </c>
      <c r="U23" s="96">
        <f>T$23*IF($N$19=1,U$30/T$30,IF($N$19=2,U$36/T$36,Exogenous!U$7/Exogenous!T$7))</f>
        <v>0.27974552767519928</v>
      </c>
      <c r="V23" s="96">
        <f>U$23*IF($N$19=1,V$30/U$30,IF($N$19=2,V$36/U$36,Exogenous!V$7/Exogenous!U$7))</f>
        <v>0.31264324191362869</v>
      </c>
      <c r="W23" s="96">
        <f>V$23*IF($N$19=1,W$30/V$30,IF($N$19=2,W$36/V$36,Exogenous!W$7/Exogenous!V$7))</f>
        <v>0.34780827850472024</v>
      </c>
      <c r="X23" s="96">
        <f>W$23*IF($N$19=1,X$30/W$30,IF($N$19=2,X$36/W$36,Exogenous!X$7/Exogenous!W$7))</f>
        <v>0.37607103079520754</v>
      </c>
      <c r="Y23" s="96">
        <f>X$23*IF($N$19=1,Y$30/X$30,IF($N$19=2,Y$36/X$36,Exogenous!Y$7/Exogenous!X$7))</f>
        <v>0.40441458342874448</v>
      </c>
      <c r="Z23" s="96">
        <f>Y$23*IF($N$19=1,Z$30/Y$30,IF($N$19=2,Z$36/Y$36,Exogenous!Z$7/Exogenous!Y$7))</f>
        <v>0.43338784701832989</v>
      </c>
      <c r="AA23" s="96">
        <f>Z$23*IF($N$19=1,AA$30/Z$30,IF($N$19=2,AA$36/Z$36,Exogenous!AA$7/Exogenous!Z$7))</f>
        <v>0.46312912079011143</v>
      </c>
      <c r="AB23" s="96">
        <f>AA$23*IF($N$19=1,AB$30/AA$30,IF($N$19=2,AB$36/AA$36,Exogenous!AB$7/Exogenous!AA$7))</f>
        <v>0.49368110665573667</v>
      </c>
    </row>
    <row r="24" spans="1:28" x14ac:dyDescent="0.2">
      <c r="A24" s="1" t="s">
        <v>377</v>
      </c>
      <c r="C24" s="14">
        <v>1.3129999999999999</v>
      </c>
      <c r="D24" s="14">
        <v>-0.995</v>
      </c>
      <c r="E24" s="14">
        <v>-3.4950000000000001</v>
      </c>
      <c r="F24" s="14">
        <v>1.75</v>
      </c>
      <c r="G24" s="14">
        <v>3.5179999999999998</v>
      </c>
      <c r="H24" s="14">
        <v>-0.20399999999999999</v>
      </c>
      <c r="I24" s="14">
        <v>4.3739999999999997</v>
      </c>
      <c r="J24" s="14">
        <v>3.7349999999999999</v>
      </c>
      <c r="K24" s="14">
        <v>3.1560000000000001</v>
      </c>
      <c r="L24" s="14">
        <v>-7.5999999999999998E-2</v>
      </c>
      <c r="M24" s="14">
        <v>5.5119999999999996</v>
      </c>
      <c r="N24" s="92">
        <f>IF($N$19=1,N$30,IF($N$19=2,N$36,Exogenous!N$7))*N$16/N$17</f>
        <v>3.8959999999999999</v>
      </c>
      <c r="O24" s="92">
        <f>IF($N$19=1,O$30,IF($N$19=2,O$36,Exogenous!O$7))*O$16/O$17</f>
        <v>2.641</v>
      </c>
      <c r="P24" s="92">
        <f>IF($N$19=1,P$30,IF($N$19=2,P$36,Exogenous!P$7))*P$16/P$17</f>
        <v>2.8969999999999998</v>
      </c>
      <c r="Q24" s="92">
        <f>IF($N$19=1,Q$30,IF($N$19=2,Q$36,Exogenous!Q$7))*Q$16/Q$17</f>
        <v>3.2090000000000001</v>
      </c>
      <c r="R24" s="92">
        <f>IF($N$19=1,R$30,IF($N$19=2,R$36,Exogenous!R$7))*R$16/R$17</f>
        <v>3.593</v>
      </c>
      <c r="S24" s="96">
        <f>R$24*IF($N$19=1,S$30/R$30,IF($N$19=2,S$36/R$36,Exogenous!S$7/Exogenous!R$7))</f>
        <v>3.2109163528157212</v>
      </c>
      <c r="T24" s="96">
        <f>S$24*IF($N$19=1,T$30/S$30,IF($N$19=2,T$36/S$36,Exogenous!T$7/Exogenous!S$7))</f>
        <v>3.6235548126687784</v>
      </c>
      <c r="U24" s="96">
        <f>T$24*IF($N$19=1,U$30/T$30,IF($N$19=2,U$36/T$36,Exogenous!U$7/Exogenous!T$7))</f>
        <v>4.0693347406355915</v>
      </c>
      <c r="V24" s="96">
        <f>U$24*IF($N$19=1,V$30/U$30,IF($N$19=2,V$36/U$36,Exogenous!V$7/Exogenous!U$7))</f>
        <v>4.5478832720472386</v>
      </c>
      <c r="W24" s="96">
        <f>V$24*IF($N$19=1,W$30/V$30,IF($N$19=2,W$36/V$36,Exogenous!W$7/Exogenous!V$7))</f>
        <v>5.0594135411638055</v>
      </c>
      <c r="X24" s="96">
        <f>W$24*IF($N$19=1,X$30/W$30,IF($N$19=2,X$36/W$36,Exogenous!X$7/Exogenous!W$7))</f>
        <v>5.4705393265068052</v>
      </c>
      <c r="Y24" s="96">
        <f>X$24*IF($N$19=1,Y$30/X$30,IF($N$19=2,Y$36/X$36,Exogenous!Y$7/Exogenous!X$7))</f>
        <v>5.882840478783316</v>
      </c>
      <c r="Z24" s="96">
        <f>Y$24*IF($N$19=1,Z$30/Y$30,IF($N$19=2,Z$36/Y$36,Exogenous!Z$7/Exogenous!Y$7))</f>
        <v>6.3043017584488235</v>
      </c>
      <c r="AA24" s="96">
        <f>Z$24*IF($N$19=1,AA$30/Z$30,IF($N$19=2,AA$36/Z$36,Exogenous!AA$7/Exogenous!Z$7))</f>
        <v>6.7369349433152657</v>
      </c>
      <c r="AB24" s="96">
        <f>AA$24*IF($N$19=1,AB$30/AA$30,IF($N$19=2,AB$36/AA$36,Exogenous!AB$7/Exogenous!AA$7))</f>
        <v>7.1813611992472151</v>
      </c>
    </row>
    <row r="25" spans="1:28" x14ac:dyDescent="0.2">
      <c r="A25" s="1" t="s">
        <v>86</v>
      </c>
      <c r="C25" s="14">
        <v>-2.4E-2</v>
      </c>
      <c r="D25" s="14">
        <v>1.6E-2</v>
      </c>
      <c r="E25" s="14">
        <v>2.5999999999999999E-2</v>
      </c>
      <c r="F25" s="14">
        <v>0.01</v>
      </c>
      <c r="G25" s="14">
        <v>1E-3</v>
      </c>
      <c r="H25" s="14">
        <v>8.0000000000000002E-3</v>
      </c>
      <c r="I25" s="14">
        <v>2.5000000000000001E-2</v>
      </c>
      <c r="J25" s="14">
        <v>-4.0000000000000001E-3</v>
      </c>
      <c r="K25" s="14">
        <v>4.1000000000000002E-2</v>
      </c>
      <c r="L25" s="14">
        <v>-2.1000000000000001E-2</v>
      </c>
      <c r="M25" s="14">
        <v>0</v>
      </c>
      <c r="N25" s="92">
        <f>IF($N$19=1,N$32,IF($N$19=2,N$38,Exogenous!N$10))</f>
        <v>4.2999999999999997E-2</v>
      </c>
      <c r="O25" s="92">
        <f>IF($N$19=1,O$32,IF($N$19=2,O$38,Exogenous!O$10))</f>
        <v>2.7E-2</v>
      </c>
      <c r="P25" s="92">
        <f>IF($N$19=1,P$32,IF($N$19=2,P$38,Exogenous!P$10))</f>
        <v>3.1E-2</v>
      </c>
      <c r="Q25" s="92">
        <f>IF($N$19=1,Q$32,IF($N$19=2,Q$38,Exogenous!Q$10))</f>
        <v>3.5000000000000003E-2</v>
      </c>
      <c r="R25" s="92">
        <f>IF($N$19=1,R$32,IF($N$19=2,R$38,Exogenous!R$10))</f>
        <v>0.04</v>
      </c>
      <c r="S25" s="96">
        <f>IF($N$19=1,S$32,IF($N$19=2,S$38,Exogenous!S$10))</f>
        <v>3.5746355166331435E-2</v>
      </c>
      <c r="T25" s="96">
        <f>IF($N$19=1,T$32,IF($N$19=2,T$38,Exogenous!T$10))</f>
        <v>4.0340159339479861E-2</v>
      </c>
      <c r="U25" s="96">
        <f>IF($N$19=1,U$32,IF($N$19=2,U$38,Exogenous!U$10))</f>
        <v>4.5302919461570737E-2</v>
      </c>
      <c r="V25" s="96">
        <f>IF($N$19=1,V$32,IF($N$19=2,V$38,Exogenous!V$10))</f>
        <v>5.0630484520425706E-2</v>
      </c>
      <c r="W25" s="96">
        <f>IF($N$19=1,W$32,IF($N$19=2,W$38,Exogenous!W$10))</f>
        <v>5.6325227288213812E-2</v>
      </c>
      <c r="X25" s="96">
        <f>IF($N$19=1,X$32,IF($N$19=2,X$38,Exogenous!X$10))</f>
        <v>6.0902191221895968E-2</v>
      </c>
      <c r="Y25" s="96">
        <f>IF($N$19=1,Y$32,IF($N$19=2,Y$38,Exogenous!Y$10))</f>
        <v>6.549224023137562E-2</v>
      </c>
      <c r="Z25" s="96">
        <f>IF($N$19=1,Z$32,IF($N$19=2,Z$38,Exogenous!Z$10))</f>
        <v>7.0184266723616162E-2</v>
      </c>
      <c r="AA25" s="96">
        <f>IF($N$19=1,AA$32,IF($N$19=2,AA$38,Exogenous!AA$10))</f>
        <v>7.500066733443099E-2</v>
      </c>
      <c r="AB25" s="96">
        <f>IF($N$19=1,AB$32,IF($N$19=2,AB$38,Exogenous!AB$10))</f>
        <v>7.9948357353155738E-2</v>
      </c>
    </row>
    <row r="26" spans="1:28" ht="15" x14ac:dyDescent="0.25">
      <c r="A26" s="2" t="s">
        <v>853</v>
      </c>
      <c r="B26" s="39">
        <v>9.8550000000000004</v>
      </c>
      <c r="C26" s="39">
        <v>12.972999999999999</v>
      </c>
      <c r="D26" s="39">
        <v>14.211999999999998</v>
      </c>
      <c r="E26" s="39">
        <v>13.687999999999997</v>
      </c>
      <c r="F26" s="39">
        <v>15.655999999999997</v>
      </c>
      <c r="G26" s="39">
        <v>18.651999999999997</v>
      </c>
      <c r="H26" s="39">
        <v>18.702999999999996</v>
      </c>
      <c r="I26" s="39">
        <v>22.548999999999992</v>
      </c>
      <c r="J26" s="39">
        <v>25.80899999999999</v>
      </c>
      <c r="K26" s="39">
        <v>29.521999999999991</v>
      </c>
      <c r="L26" s="39">
        <v>29.527000000000001</v>
      </c>
      <c r="M26" s="39">
        <v>34.506</v>
      </c>
      <c r="N26" s="100">
        <f>IF($N$19=1,N$33,IF($N$19=2,N$39,Exogenous!N$11))</f>
        <v>38.864999999999988</v>
      </c>
      <c r="O26" s="100">
        <f>IF($N$19=1,O$33,IF($N$19=2,O$39,Exogenous!O$11))</f>
        <v>42.457999999999991</v>
      </c>
      <c r="P26" s="100">
        <f>IF($N$19=1,P$33,IF($N$19=2,P$39,Exogenous!P$11))</f>
        <v>46.79999999999999</v>
      </c>
      <c r="Q26" s="100">
        <f>IF($N$19=1,Q$33,IF($N$19=2,Q$39,Exogenous!Q$11))</f>
        <v>52.145999999999987</v>
      </c>
      <c r="R26" s="100">
        <f>IF($N$19=1,R$33,IF($N$19=2,R$39,Exogenous!R$11))</f>
        <v>58.166999999999987</v>
      </c>
      <c r="S26" s="99">
        <f>IF($N$19=1,S$33,IF($N$19=2,S$39,Exogenous!S$11))</f>
        <v>63.965752543236796</v>
      </c>
      <c r="T26" s="99">
        <f>IF($N$19=1,T$33,IF($N$19=2,T$39,Exogenous!T$11))</f>
        <v>70.058026294352715</v>
      </c>
      <c r="U26" s="99">
        <f>IF($N$19=1,U$33,IF($N$19=2,U$39,Exogenous!U$11))</f>
        <v>76.415310776299705</v>
      </c>
      <c r="V26" s="99">
        <f>IF($N$19=1,V$33,IF($N$19=2,V$39,Exogenous!V$11))</f>
        <v>83.010729982199351</v>
      </c>
      <c r="W26" s="99">
        <f>IF($N$19=1,W$33,IF($N$19=2,W$39,Exogenous!W$11))</f>
        <v>89.842616846744875</v>
      </c>
      <c r="X26" s="99">
        <f>IF($N$19=1,X$33,IF($N$19=2,X$39,Exogenous!X$11))</f>
        <v>96.800542001362587</v>
      </c>
      <c r="Y26" s="99">
        <f>IF($N$19=1,Y$33,IF($N$19=2,Y$39,Exogenous!Y$11))</f>
        <v>103.89065769165705</v>
      </c>
      <c r="Z26" s="99">
        <f>IF($N$19=1,Z$33,IF($N$19=2,Z$39,Exogenous!Z$11))</f>
        <v>111.16294385080525</v>
      </c>
      <c r="AA26" s="99">
        <f>IF($N$19=1,AA$33,IF($N$19=2,AA$39,Exogenous!AA$11))</f>
        <v>118.63435261494058</v>
      </c>
      <c r="AB26" s="99">
        <f>IF($N$19=1,AB$33,IF($N$19=2,AB$39,Exogenous!AB$11))</f>
        <v>126.30844506674478</v>
      </c>
    </row>
    <row r="27" spans="1:28" x14ac:dyDescent="0.2">
      <c r="A27" s="4" t="s">
        <v>854</v>
      </c>
      <c r="C27" s="64" t="str">
        <f>IF(ROUND(C$26-SUM(B$26,C$20,C$21,C$24,C$25)+SUM(C$22,C$23),3)=0,"OK","ERROR")</f>
        <v>OK</v>
      </c>
      <c r="D27" s="64" t="str">
        <f t="shared" ref="D27:M27" si="0">IF(ROUND(D$26-SUM(C$26,D$20,D$21,D$24,D$25)+SUM(D$22,D$23),3)=0,"OK","ERROR")</f>
        <v>OK</v>
      </c>
      <c r="E27" s="64" t="str">
        <f t="shared" si="0"/>
        <v>OK</v>
      </c>
      <c r="F27" s="64" t="str">
        <f t="shared" si="0"/>
        <v>OK</v>
      </c>
      <c r="G27" s="64" t="str">
        <f t="shared" si="0"/>
        <v>OK</v>
      </c>
      <c r="H27" s="64" t="str">
        <f t="shared" si="0"/>
        <v>OK</v>
      </c>
      <c r="I27" s="64" t="str">
        <f t="shared" si="0"/>
        <v>OK</v>
      </c>
      <c r="J27" s="64" t="str">
        <f t="shared" si="0"/>
        <v>OK</v>
      </c>
      <c r="K27" s="64" t="str">
        <f t="shared" si="0"/>
        <v>OK</v>
      </c>
      <c r="L27" s="64" t="str">
        <f t="shared" si="0"/>
        <v>OK</v>
      </c>
      <c r="M27" s="64" t="str">
        <f t="shared" si="0"/>
        <v>OK</v>
      </c>
      <c r="N27" s="108" t="str">
        <f t="shared" ref="N27:S27" si="1">IF(ROUND(N$26-SUM(M$26,N$20,N$21,N$24,N$25)+SUM(N$22,N$23),3)=0,"OK","ERROR")</f>
        <v>OK</v>
      </c>
      <c r="O27" s="108" t="str">
        <f t="shared" ref="O27" si="2">IF(ROUND(O$26-SUM(N$26,O$20,O$21,O$24,O$25)+SUM(O$22,O$23),3)=0,"OK","ERROR")</f>
        <v>OK</v>
      </c>
      <c r="P27" s="108" t="str">
        <f t="shared" ref="P27" si="3">IF(ROUND(P$26-SUM(O$26,P$20,P$21,P$24,P$25)+SUM(P$22,P$23),3)=0,"OK","ERROR")</f>
        <v>OK</v>
      </c>
      <c r="Q27" s="108" t="str">
        <f t="shared" ref="Q27:R27" si="4">IF(ROUND(Q$26-SUM(P$26,Q$20,Q$21,Q$24,Q$25)+SUM(Q$22,Q$23),3)=0,"OK","ERROR")</f>
        <v>OK</v>
      </c>
      <c r="R27" s="108" t="str">
        <f t="shared" si="4"/>
        <v>OK</v>
      </c>
      <c r="S27" s="109" t="str">
        <f t="shared" si="1"/>
        <v>OK</v>
      </c>
      <c r="T27" s="109" t="str">
        <f t="shared" ref="T27" si="5">IF(ROUND(T$26-SUM(S$26,T$20,T$21,T$24,T$25)+SUM(T$22,T$23),3)=0,"OK","ERROR")</f>
        <v>OK</v>
      </c>
      <c r="U27" s="109" t="str">
        <f t="shared" ref="U27" si="6">IF(ROUND(U$26-SUM(T$26,U$20,U$21,U$24,U$25)+SUM(U$22,U$23),3)=0,"OK","ERROR")</f>
        <v>OK</v>
      </c>
      <c r="V27" s="109" t="str">
        <f t="shared" ref="V27" si="7">IF(ROUND(V$26-SUM(U$26,V$20,V$21,V$24,V$25)+SUM(V$22,V$23),3)=0,"OK","ERROR")</f>
        <v>OK</v>
      </c>
      <c r="W27" s="109" t="str">
        <f t="shared" ref="W27" si="8">IF(ROUND(W$26-SUM(V$26,W$20,W$21,W$24,W$25)+SUM(W$22,W$23),3)=0,"OK","ERROR")</f>
        <v>OK</v>
      </c>
      <c r="X27" s="109" t="str">
        <f t="shared" ref="X27" si="9">IF(ROUND(X$26-SUM(W$26,X$20,X$21,X$24,X$25)+SUM(X$22,X$23),3)=0,"OK","ERROR")</f>
        <v>OK</v>
      </c>
      <c r="Y27" s="109" t="str">
        <f t="shared" ref="Y27" si="10">IF(ROUND(Y$26-SUM(X$26,Y$20,Y$21,Y$24,Y$25)+SUM(Y$22,Y$23),3)=0,"OK","ERROR")</f>
        <v>OK</v>
      </c>
      <c r="Z27" s="109" t="str">
        <f t="shared" ref="Z27" si="11">IF(ROUND(Z$26-SUM(Y$26,Z$20,Z$21,Z$24,Z$25)+SUM(Z$22,Z$23),3)=0,"OK","ERROR")</f>
        <v>OK</v>
      </c>
      <c r="AA27" s="109" t="str">
        <f t="shared" ref="AA27" si="12">IF(ROUND(AA$26-SUM(Z$26,AA$20,AA$21,AA$24,AA$25)+SUM(AA$22,AA$23),3)=0,"OK","ERROR")</f>
        <v>OK</v>
      </c>
      <c r="AB27" s="109" t="str">
        <f t="shared" ref="AB27" si="13">IF(ROUND(AB$26-SUM(AA$26,AB$20,AB$21,AB$24,AB$25)+SUM(AB$22,AB$23),3)=0,"OK","ERROR")</f>
        <v>OK</v>
      </c>
    </row>
    <row r="29" spans="1:28" ht="15" x14ac:dyDescent="0.25">
      <c r="G29" s="2"/>
      <c r="J29" s="1" t="s">
        <v>858</v>
      </c>
      <c r="K29" s="1" t="s">
        <v>860</v>
      </c>
      <c r="M29" s="92"/>
      <c r="N29" s="92">
        <v>0.5</v>
      </c>
      <c r="O29" s="92">
        <v>1</v>
      </c>
      <c r="P29" s="92">
        <v>1.5</v>
      </c>
      <c r="Q29" s="92">
        <v>2.2000000000000002</v>
      </c>
      <c r="R29" s="92">
        <v>2.5</v>
      </c>
      <c r="S29" s="96">
        <v>2.6509999999999998</v>
      </c>
      <c r="T29" s="96">
        <v>2.54</v>
      </c>
      <c r="U29" s="96">
        <v>2.3679999999999999</v>
      </c>
      <c r="V29" s="96">
        <v>2.137</v>
      </c>
      <c r="W29" s="96">
        <v>1.8720000000000001</v>
      </c>
      <c r="X29" s="96">
        <v>1.595</v>
      </c>
      <c r="Y29" s="96">
        <v>1.323</v>
      </c>
      <c r="Z29" s="96">
        <v>1.0920000000000001</v>
      </c>
      <c r="AA29" s="96">
        <v>0.86699999999999999</v>
      </c>
      <c r="AB29" s="96">
        <v>0.63400000000000001</v>
      </c>
    </row>
    <row r="30" spans="1:28" x14ac:dyDescent="0.2">
      <c r="K30" s="1" t="s">
        <v>861</v>
      </c>
      <c r="M30" s="92"/>
      <c r="N30" s="92">
        <v>4.4580000000000002</v>
      </c>
      <c r="O30" s="92">
        <v>3.3730000000000002</v>
      </c>
      <c r="P30" s="92">
        <v>3.6979999999999995</v>
      </c>
      <c r="Q30" s="92">
        <v>4.0940000000000003</v>
      </c>
      <c r="R30" s="92">
        <v>4.5819999999999999</v>
      </c>
      <c r="S30" s="96">
        <v>4.0947449843032659</v>
      </c>
      <c r="T30" s="96">
        <v>4.6209652523374176</v>
      </c>
      <c r="U30" s="96">
        <v>5.1894494243229277</v>
      </c>
      <c r="V30" s="96">
        <v>5.7997220018147644</v>
      </c>
      <c r="W30" s="96">
        <v>6.4520547858648918</v>
      </c>
      <c r="X30" s="96">
        <v>6.9763460044681826</v>
      </c>
      <c r="Y30" s="96">
        <v>7.5021361185040778</v>
      </c>
      <c r="Z30" s="96">
        <v>8.0396077531902321</v>
      </c>
      <c r="AA30" s="96">
        <v>8.5913264431590708</v>
      </c>
      <c r="AB30" s="96">
        <v>9.1580843348039895</v>
      </c>
    </row>
    <row r="31" spans="1:28" x14ac:dyDescent="0.2">
      <c r="K31" s="1" t="s">
        <v>851</v>
      </c>
      <c r="M31" s="92"/>
      <c r="N31" s="92">
        <v>0.64200000000000002</v>
      </c>
      <c r="O31" s="92">
        <v>0.80700000000000005</v>
      </c>
      <c r="P31" s="92">
        <v>0.88700000000000001</v>
      </c>
      <c r="Q31" s="92">
        <v>0.98299999999999998</v>
      </c>
      <c r="R31" s="92">
        <v>1.101</v>
      </c>
      <c r="S31" s="96">
        <v>0.98273879623278382</v>
      </c>
      <c r="T31" s="96">
        <v>1.1090316605609802</v>
      </c>
      <c r="U31" s="96">
        <v>1.2454678618375026</v>
      </c>
      <c r="V31" s="96">
        <v>1.3919332804355433</v>
      </c>
      <c r="W31" s="96">
        <v>1.5484931486075739</v>
      </c>
      <c r="X31" s="96">
        <v>1.6743230410723637</v>
      </c>
      <c r="Y31" s="96">
        <v>1.8005126684409787</v>
      </c>
      <c r="Z31" s="96">
        <v>1.9295058607656557</v>
      </c>
      <c r="AA31" s="96">
        <v>2.0619183463581767</v>
      </c>
      <c r="AB31" s="96">
        <v>2.1979402403529575</v>
      </c>
    </row>
    <row r="32" spans="1:28" x14ac:dyDescent="0.2">
      <c r="K32" s="1" t="s">
        <v>862</v>
      </c>
      <c r="M32" s="92"/>
      <c r="N32" s="92">
        <v>4.2999999999999997E-2</v>
      </c>
      <c r="O32" s="92">
        <v>2.7E-2</v>
      </c>
      <c r="P32" s="92">
        <v>3.1E-2</v>
      </c>
      <c r="Q32" s="92">
        <v>3.5000000000000003E-2</v>
      </c>
      <c r="R32" s="92">
        <v>0.04</v>
      </c>
      <c r="S32" s="96">
        <v>3.5746355166331435E-2</v>
      </c>
      <c r="T32" s="96">
        <v>4.0340159339479861E-2</v>
      </c>
      <c r="U32" s="96">
        <v>4.5302919461570737E-2</v>
      </c>
      <c r="V32" s="96">
        <v>5.0630484520425706E-2</v>
      </c>
      <c r="W32" s="96">
        <v>5.6325227288213812E-2</v>
      </c>
      <c r="X32" s="96">
        <v>6.0902191221895968E-2</v>
      </c>
      <c r="Y32" s="96">
        <v>6.549224023137562E-2</v>
      </c>
      <c r="Z32" s="96">
        <v>7.0184266723616162E-2</v>
      </c>
      <c r="AA32" s="96">
        <v>7.500066733443099E-2</v>
      </c>
      <c r="AB32" s="96">
        <v>7.9948357353155738E-2</v>
      </c>
    </row>
    <row r="33" spans="6:28" ht="15" x14ac:dyDescent="0.25">
      <c r="K33" s="39"/>
      <c r="L33" s="39"/>
      <c r="M33" s="39">
        <v>34.506</v>
      </c>
      <c r="N33" s="100">
        <v>38.864999999999988</v>
      </c>
      <c r="O33" s="100">
        <v>42.457999999999991</v>
      </c>
      <c r="P33" s="100">
        <v>46.79999999999999</v>
      </c>
      <c r="Q33" s="100">
        <v>52.145999999999987</v>
      </c>
      <c r="R33" s="100">
        <v>58.166999999999987</v>
      </c>
      <c r="S33" s="99">
        <v>63.965752543236796</v>
      </c>
      <c r="T33" s="99">
        <v>70.058026294352715</v>
      </c>
      <c r="U33" s="99">
        <v>76.415310776299705</v>
      </c>
      <c r="V33" s="99">
        <v>83.010729982199351</v>
      </c>
      <c r="W33" s="99">
        <v>89.842616846744875</v>
      </c>
      <c r="X33" s="99">
        <v>96.800542001362587</v>
      </c>
      <c r="Y33" s="99">
        <v>103.89065769165705</v>
      </c>
      <c r="Z33" s="99">
        <v>111.16294385080525</v>
      </c>
      <c r="AA33" s="99">
        <v>118.63435261494058</v>
      </c>
      <c r="AB33" s="99">
        <v>126.30844506674478</v>
      </c>
    </row>
    <row r="34" spans="6:28" x14ac:dyDescent="0.2">
      <c r="M34" s="95"/>
      <c r="N34" s="95"/>
      <c r="O34" s="95"/>
      <c r="P34" s="95"/>
      <c r="Q34" s="95"/>
      <c r="R34" s="95"/>
      <c r="S34" s="95"/>
      <c r="T34" s="95"/>
      <c r="U34" s="95"/>
      <c r="V34" s="95"/>
      <c r="W34" s="95"/>
      <c r="X34" s="95"/>
      <c r="Y34" s="95"/>
      <c r="Z34" s="95"/>
      <c r="AA34" s="95"/>
      <c r="AB34" s="95"/>
    </row>
    <row r="35" spans="6:28" ht="15" x14ac:dyDescent="0.25">
      <c r="F35" s="2"/>
      <c r="G35" s="2"/>
      <c r="J35" s="1" t="s">
        <v>859</v>
      </c>
      <c r="K35" s="1" t="s">
        <v>860</v>
      </c>
      <c r="M35" s="92"/>
      <c r="N35" s="92">
        <v>0.5</v>
      </c>
      <c r="O35" s="92">
        <v>1</v>
      </c>
      <c r="P35" s="92">
        <v>1.5</v>
      </c>
      <c r="Q35" s="92">
        <v>2.2000000000000002</v>
      </c>
      <c r="R35" s="92">
        <v>2.5</v>
      </c>
      <c r="S35" s="96">
        <v>2.6509999999999998</v>
      </c>
      <c r="T35" s="96">
        <v>2.54</v>
      </c>
      <c r="U35" s="96">
        <v>2.3679999999999999</v>
      </c>
      <c r="V35" s="96">
        <v>2.137</v>
      </c>
      <c r="W35" s="96">
        <v>1.8720000000000001</v>
      </c>
      <c r="X35" s="96">
        <v>1.595</v>
      </c>
      <c r="Y35" s="96">
        <v>1.323</v>
      </c>
      <c r="Z35" s="96">
        <v>1.0920000000000001</v>
      </c>
      <c r="AA35" s="96">
        <v>0.86699999999999999</v>
      </c>
      <c r="AB35" s="96">
        <v>0.63400000000000001</v>
      </c>
    </row>
    <row r="36" spans="6:28" x14ac:dyDescent="0.2">
      <c r="K36" s="1" t="s">
        <v>861</v>
      </c>
      <c r="M36" s="92"/>
      <c r="N36" s="92">
        <v>4.4580000000000002</v>
      </c>
      <c r="O36" s="92">
        <v>3.3730000000000002</v>
      </c>
      <c r="P36" s="92">
        <v>3.6979999999999995</v>
      </c>
      <c r="Q36" s="92">
        <v>4.0940000000000003</v>
      </c>
      <c r="R36" s="92">
        <v>4.5819999999999999</v>
      </c>
      <c r="S36" s="96">
        <v>4.0947449843032659</v>
      </c>
      <c r="T36" s="96">
        <v>4.6209652523374176</v>
      </c>
      <c r="U36" s="96">
        <v>5.1894494243229277</v>
      </c>
      <c r="V36" s="96">
        <v>5.7997220018147644</v>
      </c>
      <c r="W36" s="96">
        <v>6.4520547858648918</v>
      </c>
      <c r="X36" s="96">
        <v>6.9763460044681826</v>
      </c>
      <c r="Y36" s="96">
        <v>7.5021361185040778</v>
      </c>
      <c r="Z36" s="96">
        <v>8.0396077531902321</v>
      </c>
      <c r="AA36" s="96">
        <v>8.5913264431590708</v>
      </c>
      <c r="AB36" s="96">
        <v>9.1580843348039895</v>
      </c>
    </row>
    <row r="37" spans="6:28" x14ac:dyDescent="0.2">
      <c r="K37" s="1" t="s">
        <v>851</v>
      </c>
      <c r="M37" s="92"/>
      <c r="N37" s="92">
        <v>0.64200000000000002</v>
      </c>
      <c r="O37" s="92">
        <v>0.80700000000000005</v>
      </c>
      <c r="P37" s="92">
        <v>0.88700000000000001</v>
      </c>
      <c r="Q37" s="92">
        <v>0.98299999999999998</v>
      </c>
      <c r="R37" s="92">
        <v>1.101</v>
      </c>
      <c r="S37" s="96">
        <v>0.98273879623278382</v>
      </c>
      <c r="T37" s="96">
        <v>1.1090316605609802</v>
      </c>
      <c r="U37" s="96">
        <v>1.2454678618375026</v>
      </c>
      <c r="V37" s="96">
        <v>1.3919332804355433</v>
      </c>
      <c r="W37" s="96">
        <v>1.5484931486075739</v>
      </c>
      <c r="X37" s="96">
        <v>1.6743230410723637</v>
      </c>
      <c r="Y37" s="96">
        <v>1.8005126684409787</v>
      </c>
      <c r="Z37" s="96">
        <v>1.9295058607656557</v>
      </c>
      <c r="AA37" s="96">
        <v>2.0619183463581767</v>
      </c>
      <c r="AB37" s="96">
        <v>2.1979402403529575</v>
      </c>
    </row>
    <row r="38" spans="6:28" x14ac:dyDescent="0.2">
      <c r="K38" s="1" t="s">
        <v>862</v>
      </c>
      <c r="M38" s="92"/>
      <c r="N38" s="92">
        <v>4.2999999999999997E-2</v>
      </c>
      <c r="O38" s="92">
        <v>2.7E-2</v>
      </c>
      <c r="P38" s="92">
        <v>3.1E-2</v>
      </c>
      <c r="Q38" s="92">
        <v>3.5000000000000003E-2</v>
      </c>
      <c r="R38" s="92">
        <v>0.04</v>
      </c>
      <c r="S38" s="96">
        <v>3.5746355166331435E-2</v>
      </c>
      <c r="T38" s="96">
        <v>4.0340159339479861E-2</v>
      </c>
      <c r="U38" s="96">
        <v>4.5302919461570737E-2</v>
      </c>
      <c r="V38" s="96">
        <v>5.0630484520425706E-2</v>
      </c>
      <c r="W38" s="96">
        <v>5.6325227288213812E-2</v>
      </c>
      <c r="X38" s="96">
        <v>6.0902191221895968E-2</v>
      </c>
      <c r="Y38" s="96">
        <v>6.549224023137562E-2</v>
      </c>
      <c r="Z38" s="96">
        <v>7.0184266723616162E-2</v>
      </c>
      <c r="AA38" s="96">
        <v>7.500066733443099E-2</v>
      </c>
      <c r="AB38" s="96">
        <v>7.9948357353155738E-2</v>
      </c>
    </row>
    <row r="39" spans="6:28" ht="15" x14ac:dyDescent="0.25">
      <c r="K39" s="39"/>
      <c r="L39" s="39"/>
      <c r="M39" s="39">
        <v>34.506</v>
      </c>
      <c r="N39" s="100">
        <v>38.864999999999988</v>
      </c>
      <c r="O39" s="100">
        <v>42.457999999999991</v>
      </c>
      <c r="P39" s="100">
        <v>46.79999999999999</v>
      </c>
      <c r="Q39" s="100">
        <v>52.145999999999987</v>
      </c>
      <c r="R39" s="100">
        <v>58.166999999999987</v>
      </c>
      <c r="S39" s="99">
        <v>63.965752543236796</v>
      </c>
      <c r="T39" s="99">
        <v>70.058026294352715</v>
      </c>
      <c r="U39" s="99">
        <v>76.415310776299705</v>
      </c>
      <c r="V39" s="99">
        <v>83.010729982199351</v>
      </c>
      <c r="W39" s="99">
        <v>89.842616846744875</v>
      </c>
      <c r="X39" s="99">
        <v>96.800542001362587</v>
      </c>
      <c r="Y39" s="99">
        <v>103.89065769165705</v>
      </c>
      <c r="Z39" s="99">
        <v>111.16294385080525</v>
      </c>
      <c r="AA39" s="99">
        <v>118.63435261494058</v>
      </c>
      <c r="AB39" s="99">
        <v>126.30844506674478</v>
      </c>
    </row>
    <row r="41" spans="6:28" x14ac:dyDescent="0.2">
      <c r="M41" s="15"/>
      <c r="N41" s="15"/>
      <c r="O41" s="15"/>
      <c r="P41" s="15"/>
      <c r="Q41" s="15"/>
      <c r="R41" s="6"/>
      <c r="S41" s="6"/>
      <c r="T41" s="6"/>
      <c r="U41" s="6"/>
      <c r="V41" s="6"/>
      <c r="W41" s="6"/>
      <c r="X41" s="6"/>
      <c r="Y41" s="6"/>
      <c r="Z41" s="6"/>
      <c r="AA41" s="6"/>
      <c r="AB41" s="6"/>
    </row>
    <row r="42" spans="6:28" x14ac:dyDescent="0.2">
      <c r="M42" s="15"/>
      <c r="N42" s="15"/>
      <c r="O42" s="15"/>
      <c r="P42" s="15"/>
      <c r="Q42" s="15"/>
      <c r="R42" s="6"/>
      <c r="S42" s="6"/>
      <c r="T42" s="6"/>
      <c r="U42" s="6"/>
      <c r="V42" s="6"/>
      <c r="W42" s="6"/>
      <c r="X42" s="6"/>
      <c r="Y42" s="6"/>
      <c r="Z42" s="6"/>
      <c r="AA42" s="6"/>
      <c r="AB42" s="6"/>
    </row>
    <row r="43" spans="6:28" x14ac:dyDescent="0.2">
      <c r="M43" s="15"/>
      <c r="N43" s="15"/>
      <c r="O43" s="15"/>
      <c r="P43" s="15"/>
      <c r="Q43" s="15"/>
      <c r="R43" s="6"/>
      <c r="S43" s="6"/>
      <c r="T43" s="6"/>
      <c r="U43" s="6"/>
      <c r="V43" s="6"/>
      <c r="W43" s="6"/>
      <c r="X43" s="6"/>
      <c r="Y43" s="6"/>
      <c r="Z43" s="6"/>
      <c r="AA43" s="6"/>
      <c r="AB43" s="6"/>
    </row>
    <row r="44" spans="6:28" x14ac:dyDescent="0.2">
      <c r="M44" s="15"/>
      <c r="N44" s="15"/>
      <c r="O44" s="15"/>
      <c r="P44" s="15"/>
      <c r="Q44" s="15"/>
      <c r="R44" s="6"/>
      <c r="S44" s="6"/>
      <c r="T44" s="6"/>
      <c r="U44" s="6"/>
      <c r="V44" s="6"/>
      <c r="W44" s="6"/>
      <c r="X44" s="6"/>
      <c r="Y44" s="6"/>
      <c r="Z44" s="6"/>
      <c r="AA44" s="6"/>
      <c r="AB44" s="6"/>
    </row>
    <row r="45" spans="6:28" ht="15" x14ac:dyDescent="0.25">
      <c r="K45" s="39"/>
      <c r="L45" s="39"/>
      <c r="M45" s="38"/>
      <c r="N45" s="38"/>
      <c r="O45" s="38"/>
      <c r="P45" s="38"/>
      <c r="Q45" s="38"/>
      <c r="R45" s="7"/>
      <c r="S45" s="7"/>
      <c r="T45" s="7"/>
      <c r="U45" s="7"/>
      <c r="V45" s="7"/>
      <c r="W45" s="7"/>
      <c r="X45" s="7"/>
      <c r="Y45" s="7"/>
      <c r="Z45" s="7"/>
      <c r="AA45" s="7"/>
      <c r="AB45" s="7"/>
    </row>
    <row r="47" spans="6:28" x14ac:dyDescent="0.2">
      <c r="M47" s="15"/>
      <c r="N47" s="15"/>
      <c r="O47" s="15"/>
      <c r="P47" s="15"/>
      <c r="Q47" s="15"/>
      <c r="R47" s="6"/>
      <c r="S47" s="6"/>
      <c r="T47" s="6"/>
      <c r="U47" s="6"/>
      <c r="V47" s="6"/>
      <c r="W47" s="6"/>
      <c r="X47" s="6"/>
      <c r="Y47" s="6"/>
      <c r="Z47" s="6"/>
      <c r="AA47" s="6"/>
      <c r="AB47" s="6"/>
    </row>
    <row r="48" spans="6:28" x14ac:dyDescent="0.2">
      <c r="M48" s="15"/>
      <c r="N48" s="15"/>
      <c r="O48" s="15"/>
      <c r="P48" s="15"/>
      <c r="Q48" s="15"/>
      <c r="R48" s="6"/>
      <c r="S48" s="6"/>
      <c r="T48" s="6"/>
      <c r="U48" s="6"/>
      <c r="V48" s="6"/>
      <c r="W48" s="6"/>
      <c r="X48" s="6"/>
      <c r="Y48" s="6"/>
      <c r="Z48" s="6"/>
      <c r="AA48" s="6"/>
      <c r="AB48" s="6"/>
    </row>
    <row r="49" spans="11:28" x14ac:dyDescent="0.2">
      <c r="M49" s="15"/>
      <c r="N49" s="15"/>
      <c r="O49" s="15"/>
      <c r="P49" s="15"/>
      <c r="Q49" s="15"/>
      <c r="R49" s="6"/>
      <c r="S49" s="6"/>
      <c r="T49" s="6"/>
      <c r="U49" s="6"/>
      <c r="V49" s="6"/>
      <c r="W49" s="6"/>
      <c r="X49" s="6"/>
      <c r="Y49" s="6"/>
      <c r="Z49" s="6"/>
      <c r="AA49" s="6"/>
      <c r="AB49" s="6"/>
    </row>
    <row r="50" spans="11:28" x14ac:dyDescent="0.2">
      <c r="M50" s="15"/>
      <c r="N50" s="15"/>
      <c r="O50" s="15"/>
      <c r="P50" s="15"/>
      <c r="Q50" s="15"/>
      <c r="R50" s="6"/>
      <c r="S50" s="6"/>
      <c r="T50" s="6"/>
      <c r="U50" s="6"/>
      <c r="V50" s="6"/>
      <c r="W50" s="6"/>
      <c r="X50" s="6"/>
      <c r="Y50" s="6"/>
      <c r="Z50" s="6"/>
      <c r="AA50" s="6"/>
      <c r="AB50" s="6"/>
    </row>
    <row r="51" spans="11:28" ht="15" x14ac:dyDescent="0.25">
      <c r="K51" s="39"/>
      <c r="L51" s="39"/>
      <c r="M51" s="38"/>
      <c r="N51" s="38"/>
      <c r="O51" s="38"/>
      <c r="P51" s="38"/>
      <c r="Q51" s="38"/>
      <c r="R51" s="7"/>
      <c r="S51" s="7"/>
      <c r="T51" s="7"/>
      <c r="U51" s="7"/>
      <c r="V51" s="7"/>
      <c r="W51" s="7"/>
      <c r="X51" s="7"/>
      <c r="Y51" s="7"/>
      <c r="Z51" s="7"/>
      <c r="AA51" s="7"/>
      <c r="AB51" s="7"/>
    </row>
    <row r="53" spans="11:28" x14ac:dyDescent="0.2">
      <c r="M53" s="15"/>
      <c r="N53" s="15"/>
      <c r="O53" s="15"/>
      <c r="P53" s="15"/>
      <c r="Q53" s="15"/>
      <c r="R53" s="6"/>
      <c r="S53" s="6"/>
      <c r="T53" s="6"/>
      <c r="U53" s="6"/>
      <c r="V53" s="6"/>
      <c r="W53" s="6"/>
      <c r="X53" s="6"/>
      <c r="Y53" s="6"/>
      <c r="Z53" s="6"/>
      <c r="AA53" s="6"/>
      <c r="AB53" s="6"/>
    </row>
    <row r="54" spans="11:28" x14ac:dyDescent="0.2">
      <c r="M54" s="15"/>
      <c r="N54" s="15"/>
      <c r="O54" s="15"/>
      <c r="P54" s="15"/>
      <c r="Q54" s="15"/>
      <c r="R54" s="6"/>
      <c r="S54" s="6"/>
      <c r="T54" s="6"/>
      <c r="U54" s="6"/>
      <c r="V54" s="6"/>
      <c r="W54" s="6"/>
      <c r="X54" s="6"/>
      <c r="Y54" s="6"/>
      <c r="Z54" s="6"/>
      <c r="AA54" s="6"/>
      <c r="AB54" s="6"/>
    </row>
    <row r="55" spans="11:28" x14ac:dyDescent="0.2">
      <c r="M55" s="15"/>
      <c r="N55" s="15"/>
      <c r="O55" s="15"/>
      <c r="P55" s="15"/>
      <c r="Q55" s="15"/>
      <c r="R55" s="6"/>
      <c r="S55" s="6"/>
      <c r="T55" s="6"/>
      <c r="U55" s="6"/>
      <c r="V55" s="6"/>
      <c r="W55" s="6"/>
      <c r="X55" s="6"/>
      <c r="Y55" s="6"/>
      <c r="Z55" s="6"/>
      <c r="AA55" s="6"/>
      <c r="AB55" s="6"/>
    </row>
    <row r="56" spans="11:28" x14ac:dyDescent="0.2">
      <c r="M56" s="15"/>
      <c r="N56" s="15"/>
      <c r="O56" s="15"/>
      <c r="P56" s="15"/>
      <c r="Q56" s="15"/>
      <c r="R56" s="6"/>
      <c r="S56" s="6"/>
      <c r="T56" s="6"/>
      <c r="U56" s="6"/>
      <c r="V56" s="6"/>
      <c r="W56" s="6"/>
      <c r="X56" s="6"/>
      <c r="Y56" s="6"/>
      <c r="Z56" s="6"/>
      <c r="AA56" s="6"/>
      <c r="AB56" s="6"/>
    </row>
    <row r="57" spans="11:28" ht="15" x14ac:dyDescent="0.25">
      <c r="K57" s="39"/>
      <c r="L57" s="39"/>
      <c r="M57" s="38"/>
      <c r="N57" s="38"/>
      <c r="O57" s="38"/>
      <c r="P57" s="38"/>
      <c r="Q57" s="38"/>
      <c r="R57" s="7"/>
      <c r="S57" s="7"/>
      <c r="T57" s="7"/>
      <c r="U57" s="7"/>
      <c r="V57" s="7"/>
      <c r="W57" s="7"/>
      <c r="X57" s="7"/>
      <c r="Y57" s="7"/>
      <c r="Z57" s="7"/>
      <c r="AA57" s="7"/>
      <c r="AB57" s="7"/>
    </row>
  </sheetData>
  <hyperlinks>
    <hyperlink ref="E2"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topLeftCell="A2" zoomScaleNormal="100" workbookViewId="0">
      <selection activeCell="J29" sqref="J29"/>
    </sheetView>
  </sheetViews>
  <sheetFormatPr defaultRowHeight="14.25" x14ac:dyDescent="0.2"/>
  <cols>
    <col min="1" max="1" width="57.7109375" style="1" customWidth="1"/>
    <col min="2" max="2" width="9.140625" style="1"/>
    <col min="3" max="7" width="10.7109375" style="1" customWidth="1"/>
    <col min="8" max="9" width="9.140625" style="1"/>
    <col min="10" max="13" width="9.28515625" style="1" bestFit="1" customWidth="1"/>
    <col min="14" max="14" width="9.5703125" style="1" bestFit="1" customWidth="1"/>
    <col min="15" max="16384" width="9.140625" style="1"/>
  </cols>
  <sheetData>
    <row r="1" spans="1:22" ht="15" x14ac:dyDescent="0.25">
      <c r="A1" s="2" t="s">
        <v>868</v>
      </c>
    </row>
    <row r="2" spans="1:22" x14ac:dyDescent="0.2">
      <c r="A2" s="4" t="s">
        <v>869</v>
      </c>
    </row>
    <row r="3" spans="1:22" ht="15" x14ac:dyDescent="0.25">
      <c r="D3" s="2" t="s">
        <v>870</v>
      </c>
    </row>
    <row r="4" spans="1:22" ht="15" x14ac:dyDescent="0.25">
      <c r="A4" s="2" t="s">
        <v>11</v>
      </c>
      <c r="C4" s="5" t="s">
        <v>25</v>
      </c>
      <c r="D4" s="5" t="s">
        <v>26</v>
      </c>
      <c r="E4" s="5" t="s">
        <v>27</v>
      </c>
      <c r="F4" s="5" t="s">
        <v>28</v>
      </c>
      <c r="G4" s="5" t="s">
        <v>29</v>
      </c>
    </row>
    <row r="5" spans="1:22" ht="15" x14ac:dyDescent="0.25">
      <c r="C5" s="2">
        <v>2018</v>
      </c>
      <c r="D5" s="2">
        <v>2019</v>
      </c>
      <c r="E5" s="2">
        <v>2020</v>
      </c>
      <c r="F5" s="2">
        <v>2021</v>
      </c>
      <c r="G5" s="2">
        <v>2022</v>
      </c>
    </row>
    <row r="6" spans="1:22" ht="15" x14ac:dyDescent="0.25">
      <c r="A6" s="45" t="s">
        <v>489</v>
      </c>
      <c r="C6" s="66">
        <f ca="1">OFFSET('Fiscal Forecasts'!$B$159,0,C$5-'Fiscal Forecasts'!$E$7+3)/AVERAGE(OFFSET('Fiscal Forecasts'!$B$178,0,C$5-'Fiscal Forecasts'!$E$7+2),OFFSET('Fiscal Forecasts'!$B$178,0,C$5-'Fiscal Forecasts'!$E$7+3))</f>
        <v>3.6485686907984649E-2</v>
      </c>
      <c r="D6" s="66">
        <f ca="1">OFFSET('Fiscal Forecasts'!$B$159,0,D$5-'Fiscal Forecasts'!$E$7+3)/AVERAGE(OFFSET('Fiscal Forecasts'!$B$178,0,D$5-'Fiscal Forecasts'!$E$7+2),OFFSET('Fiscal Forecasts'!$B$178,0,D$5-'Fiscal Forecasts'!$E$7+3))</f>
        <v>3.608201034393313E-2</v>
      </c>
      <c r="E6" s="66">
        <f ca="1">OFFSET('Fiscal Forecasts'!$B$159,0,E$5-'Fiscal Forecasts'!$E$7+3)/AVERAGE(OFFSET('Fiscal Forecasts'!$B$178,0,E$5-'Fiscal Forecasts'!$E$7+2),OFFSET('Fiscal Forecasts'!$B$178,0,E$5-'Fiscal Forecasts'!$E$7+3))</f>
        <v>3.620016817231194E-2</v>
      </c>
      <c r="F6" s="66">
        <f ca="1">OFFSET('Fiscal Forecasts'!$B$159,0,F$5-'Fiscal Forecasts'!$E$7+3)/AVERAGE(OFFSET('Fiscal Forecasts'!$B$178,0,F$5-'Fiscal Forecasts'!$E$7+2),OFFSET('Fiscal Forecasts'!$B$178,0,F$5-'Fiscal Forecasts'!$E$7+3))</f>
        <v>3.7737466382367746E-2</v>
      </c>
      <c r="G6" s="66">
        <f ca="1">OFFSET('Fiscal Forecasts'!$B$159,0,G$5-'Fiscal Forecasts'!$E$7+3)/AVERAGE(OFFSET('Fiscal Forecasts'!$B$178,0,G$5-'Fiscal Forecasts'!$E$7+2),OFFSET('Fiscal Forecasts'!$B$178,0,G$5-'Fiscal Forecasts'!$E$7+3))</f>
        <v>3.455093745902714E-2</v>
      </c>
    </row>
    <row r="7" spans="1:22" ht="15" x14ac:dyDescent="0.25">
      <c r="A7" s="2" t="s">
        <v>887</v>
      </c>
    </row>
    <row r="8" spans="1:22" x14ac:dyDescent="0.2">
      <c r="A8" s="1" t="s">
        <v>250</v>
      </c>
      <c r="C8" s="11">
        <v>0</v>
      </c>
      <c r="D8" s="11">
        <v>0</v>
      </c>
      <c r="E8" s="11">
        <v>0</v>
      </c>
      <c r="F8" s="11">
        <v>0</v>
      </c>
      <c r="G8" s="11">
        <v>0</v>
      </c>
      <c r="L8" s="11"/>
      <c r="M8" s="11"/>
      <c r="N8" s="11"/>
      <c r="O8" s="11"/>
      <c r="P8" s="11"/>
      <c r="R8" s="11"/>
      <c r="S8" s="11"/>
      <c r="T8" s="11"/>
      <c r="U8" s="11"/>
      <c r="V8" s="11"/>
    </row>
    <row r="9" spans="1:22" x14ac:dyDescent="0.2">
      <c r="A9" s="1" t="s">
        <v>251</v>
      </c>
      <c r="C9" s="11">
        <v>0</v>
      </c>
      <c r="D9" s="11">
        <v>0</v>
      </c>
      <c r="E9" s="11">
        <v>0</v>
      </c>
      <c r="F9" s="11">
        <v>0</v>
      </c>
      <c r="G9" s="11">
        <v>0</v>
      </c>
      <c r="L9" s="11"/>
      <c r="M9" s="11"/>
      <c r="N9" s="11"/>
      <c r="O9" s="11"/>
      <c r="P9" s="11"/>
      <c r="R9" s="11"/>
      <c r="S9" s="11"/>
      <c r="T9" s="11"/>
      <c r="U9" s="11"/>
      <c r="V9" s="11"/>
    </row>
    <row r="10" spans="1:22" x14ac:dyDescent="0.2">
      <c r="A10" s="1" t="s">
        <v>871</v>
      </c>
      <c r="C10" s="11">
        <v>0</v>
      </c>
      <c r="D10" s="11">
        <v>0</v>
      </c>
      <c r="E10" s="11">
        <v>0</v>
      </c>
      <c r="F10" s="11">
        <v>0</v>
      </c>
      <c r="G10" s="11">
        <v>0</v>
      </c>
      <c r="L10" s="11"/>
      <c r="M10" s="11"/>
      <c r="N10" s="11"/>
      <c r="O10" s="11"/>
      <c r="P10" s="11"/>
      <c r="R10" s="11"/>
      <c r="S10" s="11"/>
      <c r="T10" s="11"/>
      <c r="U10" s="11"/>
      <c r="V10" s="11"/>
    </row>
    <row r="11" spans="1:22" x14ac:dyDescent="0.2">
      <c r="A11" s="1" t="s">
        <v>253</v>
      </c>
      <c r="C11" s="11">
        <v>0</v>
      </c>
      <c r="D11" s="11">
        <v>0</v>
      </c>
      <c r="E11" s="11">
        <v>0</v>
      </c>
      <c r="F11" s="11">
        <v>0</v>
      </c>
      <c r="G11" s="11">
        <v>0</v>
      </c>
      <c r="L11" s="11"/>
      <c r="M11" s="11"/>
      <c r="N11" s="11"/>
      <c r="O11" s="11"/>
      <c r="P11" s="11"/>
      <c r="R11" s="11"/>
      <c r="S11" s="11"/>
      <c r="T11" s="11"/>
      <c r="U11" s="11"/>
      <c r="V11" s="11"/>
    </row>
    <row r="12" spans="1:22" x14ac:dyDescent="0.2">
      <c r="A12" s="1" t="s">
        <v>872</v>
      </c>
      <c r="C12" s="11">
        <v>0</v>
      </c>
      <c r="D12" s="11">
        <v>0</v>
      </c>
      <c r="E12" s="11">
        <v>0</v>
      </c>
      <c r="F12" s="11">
        <v>0</v>
      </c>
      <c r="G12" s="11">
        <v>0</v>
      </c>
      <c r="L12" s="11"/>
      <c r="M12" s="11"/>
      <c r="N12" s="11"/>
      <c r="O12" s="11"/>
      <c r="P12" s="11"/>
      <c r="R12" s="11"/>
      <c r="S12" s="11"/>
      <c r="T12" s="11"/>
      <c r="U12" s="11"/>
      <c r="V12" s="11"/>
    </row>
    <row r="13" spans="1:22" ht="15" x14ac:dyDescent="0.25">
      <c r="A13" s="2" t="s">
        <v>873</v>
      </c>
      <c r="C13" s="67">
        <f>SUM(C$8:C$12)</f>
        <v>0</v>
      </c>
      <c r="D13" s="67">
        <f>SUM(D$8:D$12)</f>
        <v>0</v>
      </c>
      <c r="E13" s="67">
        <f>SUM(E$8:E$12)</f>
        <v>0</v>
      </c>
      <c r="F13" s="67">
        <f>SUM(F$8:F$12)</f>
        <v>0</v>
      </c>
      <c r="G13" s="67">
        <f>SUM(G$8:G$12)</f>
        <v>0</v>
      </c>
    </row>
    <row r="14" spans="1:22" ht="15" x14ac:dyDescent="0.25">
      <c r="A14" s="2" t="s">
        <v>888</v>
      </c>
      <c r="C14" s="11"/>
      <c r="D14" s="38"/>
      <c r="E14" s="38"/>
      <c r="F14" s="38"/>
      <c r="G14" s="38"/>
    </row>
    <row r="15" spans="1:22" x14ac:dyDescent="0.2">
      <c r="A15" s="1" t="s">
        <v>874</v>
      </c>
      <c r="C15" s="11">
        <v>0</v>
      </c>
      <c r="D15" s="11">
        <v>0</v>
      </c>
      <c r="E15" s="11">
        <v>0</v>
      </c>
      <c r="F15" s="11">
        <v>0</v>
      </c>
      <c r="G15" s="11">
        <v>0</v>
      </c>
      <c r="L15" s="11"/>
      <c r="M15" s="11"/>
      <c r="N15" s="11"/>
      <c r="O15" s="11"/>
      <c r="P15" s="11"/>
    </row>
    <row r="16" spans="1:22" x14ac:dyDescent="0.2">
      <c r="A16" s="1" t="s">
        <v>290</v>
      </c>
      <c r="C16" s="11">
        <v>0</v>
      </c>
      <c r="D16" s="11">
        <v>0</v>
      </c>
      <c r="E16" s="11">
        <v>0</v>
      </c>
      <c r="F16" s="11">
        <v>0</v>
      </c>
      <c r="G16" s="11">
        <v>0</v>
      </c>
      <c r="L16" s="11"/>
      <c r="M16" s="11"/>
      <c r="N16" s="11"/>
      <c r="O16" s="11"/>
      <c r="P16" s="11"/>
    </row>
    <row r="17" spans="1:16" x14ac:dyDescent="0.2">
      <c r="A17" s="1" t="s">
        <v>291</v>
      </c>
      <c r="C17" s="11">
        <v>0</v>
      </c>
      <c r="D17" s="11">
        <v>0</v>
      </c>
      <c r="E17" s="11">
        <v>0</v>
      </c>
      <c r="F17" s="11">
        <v>0</v>
      </c>
      <c r="G17" s="11">
        <v>0</v>
      </c>
      <c r="L17" s="11"/>
      <c r="M17" s="11"/>
      <c r="N17" s="11"/>
      <c r="O17" s="11"/>
      <c r="P17" s="11"/>
    </row>
    <row r="18" spans="1:16" x14ac:dyDescent="0.2">
      <c r="A18" s="1" t="s">
        <v>292</v>
      </c>
      <c r="C18" s="11">
        <v>0</v>
      </c>
      <c r="D18" s="11">
        <v>0</v>
      </c>
      <c r="E18" s="11">
        <v>0</v>
      </c>
      <c r="F18" s="11">
        <v>0</v>
      </c>
      <c r="G18" s="11">
        <v>0</v>
      </c>
      <c r="L18" s="11"/>
      <c r="M18" s="11"/>
      <c r="N18" s="11"/>
      <c r="O18" s="11"/>
      <c r="P18" s="11"/>
    </row>
    <row r="19" spans="1:16" x14ac:dyDescent="0.2">
      <c r="A19" s="1" t="s">
        <v>468</v>
      </c>
      <c r="C19" s="11">
        <v>0</v>
      </c>
      <c r="D19" s="11">
        <v>0</v>
      </c>
      <c r="E19" s="11">
        <v>0</v>
      </c>
      <c r="F19" s="11">
        <v>0</v>
      </c>
      <c r="G19" s="11">
        <v>0</v>
      </c>
      <c r="L19" s="11"/>
      <c r="M19" s="11"/>
      <c r="N19" s="11"/>
      <c r="O19" s="11"/>
      <c r="P19" s="11"/>
    </row>
    <row r="20" spans="1:16" x14ac:dyDescent="0.2">
      <c r="A20" s="1" t="s">
        <v>470</v>
      </c>
      <c r="C20" s="11">
        <v>0</v>
      </c>
      <c r="D20" s="11">
        <v>0</v>
      </c>
      <c r="E20" s="11">
        <v>0</v>
      </c>
      <c r="F20" s="11">
        <v>0</v>
      </c>
      <c r="G20" s="11">
        <v>0</v>
      </c>
      <c r="L20" s="11"/>
      <c r="M20" s="11"/>
      <c r="N20" s="11"/>
      <c r="O20" s="11"/>
      <c r="P20" s="11"/>
    </row>
    <row r="21" spans="1:16" x14ac:dyDescent="0.2">
      <c r="A21" s="1" t="s">
        <v>293</v>
      </c>
      <c r="C21" s="11">
        <v>0</v>
      </c>
      <c r="D21" s="11">
        <v>0</v>
      </c>
      <c r="E21" s="11">
        <v>0</v>
      </c>
      <c r="F21" s="11">
        <v>0</v>
      </c>
      <c r="G21" s="11">
        <v>0</v>
      </c>
      <c r="L21" s="11"/>
      <c r="M21" s="11"/>
      <c r="N21" s="11"/>
      <c r="O21" s="11"/>
    </row>
    <row r="22" spans="1:16" x14ac:dyDescent="0.2">
      <c r="A22" s="1" t="s">
        <v>474</v>
      </c>
      <c r="C22" s="11">
        <v>0</v>
      </c>
      <c r="D22" s="11">
        <v>0</v>
      </c>
      <c r="E22" s="11">
        <v>0</v>
      </c>
      <c r="F22" s="11">
        <v>0</v>
      </c>
      <c r="G22" s="11">
        <v>0</v>
      </c>
      <c r="L22" s="11"/>
      <c r="M22" s="11"/>
      <c r="N22" s="11"/>
      <c r="O22" s="11"/>
    </row>
    <row r="23" spans="1:16" ht="15" x14ac:dyDescent="0.25">
      <c r="A23" s="2" t="s">
        <v>875</v>
      </c>
      <c r="C23" s="67">
        <f>SUM(C$15:C$22)</f>
        <v>0</v>
      </c>
      <c r="D23" s="67">
        <f>SUM(D$15:D$22)</f>
        <v>0</v>
      </c>
      <c r="E23" s="67">
        <f>SUM(E$15:E$22)</f>
        <v>0</v>
      </c>
      <c r="F23" s="67">
        <f>SUM(F$15:F$22)</f>
        <v>0</v>
      </c>
      <c r="G23" s="67">
        <f>SUM(G$15:G$22)</f>
        <v>0</v>
      </c>
    </row>
    <row r="24" spans="1:16" ht="15" x14ac:dyDescent="0.25">
      <c r="A24" s="2" t="s">
        <v>1308</v>
      </c>
      <c r="C24" s="67">
        <f>C$11</f>
        <v>0</v>
      </c>
      <c r="D24" s="67">
        <f t="shared" ref="D24:G24" si="0">D$11</f>
        <v>0</v>
      </c>
      <c r="E24" s="67">
        <f t="shared" si="0"/>
        <v>0</v>
      </c>
      <c r="F24" s="67">
        <f t="shared" si="0"/>
        <v>0</v>
      </c>
      <c r="G24" s="67">
        <f t="shared" si="0"/>
        <v>0</v>
      </c>
    </row>
    <row r="25" spans="1:16" ht="15" x14ac:dyDescent="0.25">
      <c r="A25" s="2" t="s">
        <v>889</v>
      </c>
    </row>
    <row r="26" spans="1:16" x14ac:dyDescent="0.2">
      <c r="A26" s="1" t="s">
        <v>876</v>
      </c>
      <c r="C26" s="11">
        <v>0</v>
      </c>
      <c r="D26" s="11">
        <v>0</v>
      </c>
      <c r="E26" s="11">
        <v>0</v>
      </c>
      <c r="F26" s="11">
        <v>0</v>
      </c>
      <c r="G26" s="11">
        <v>0</v>
      </c>
    </row>
    <row r="27" spans="1:16" ht="15" x14ac:dyDescent="0.25">
      <c r="A27" s="1" t="s">
        <v>878</v>
      </c>
      <c r="C27" s="67">
        <f>SUM($B$26:C$26)</f>
        <v>0</v>
      </c>
      <c r="D27" s="67">
        <f>SUM($B$26:D$26)</f>
        <v>0</v>
      </c>
      <c r="E27" s="67">
        <f>SUM($B$26:E$26)</f>
        <v>0</v>
      </c>
      <c r="F27" s="67">
        <f>SUM($B$26:F$26)</f>
        <v>0</v>
      </c>
      <c r="G27" s="67">
        <f>SUM($B$26:G$26)</f>
        <v>0</v>
      </c>
    </row>
    <row r="28" spans="1:16" x14ac:dyDescent="0.2">
      <c r="A28" s="1" t="s">
        <v>877</v>
      </c>
      <c r="C28" s="11">
        <v>0</v>
      </c>
      <c r="D28" s="11">
        <v>0</v>
      </c>
      <c r="E28" s="11">
        <v>0</v>
      </c>
      <c r="F28" s="11">
        <v>0</v>
      </c>
      <c r="G28" s="11">
        <v>0</v>
      </c>
    </row>
    <row r="29" spans="1:16" ht="15" x14ac:dyDescent="0.25">
      <c r="A29" s="1" t="s">
        <v>879</v>
      </c>
      <c r="C29" s="67">
        <f>SUM($B$28:C$28)</f>
        <v>0</v>
      </c>
      <c r="D29" s="67">
        <f>SUM($B$28:D$28)</f>
        <v>0</v>
      </c>
      <c r="E29" s="67">
        <f>SUM($B$28:E$28)</f>
        <v>0</v>
      </c>
      <c r="F29" s="67">
        <f>SUM($B$28:F$28)</f>
        <v>0</v>
      </c>
      <c r="G29" s="67">
        <f>SUM($B$28:G$28)</f>
        <v>0</v>
      </c>
    </row>
    <row r="31" spans="1:16" x14ac:dyDescent="0.2">
      <c r="A31" s="18" t="s">
        <v>880</v>
      </c>
    </row>
    <row r="32" spans="1:16" ht="15" x14ac:dyDescent="0.25">
      <c r="A32" s="1" t="s">
        <v>884</v>
      </c>
      <c r="C32" s="11">
        <f ca="1">ROUND(C$6*C$36/2,0)</f>
        <v>0</v>
      </c>
      <c r="D32" s="11">
        <f t="shared" ref="D32:G32" ca="1" si="1">ROUND(D$6*D$36/2,0)</f>
        <v>0</v>
      </c>
      <c r="E32" s="11">
        <f t="shared" ca="1" si="1"/>
        <v>0</v>
      </c>
      <c r="F32" s="11">
        <f t="shared" ca="1" si="1"/>
        <v>0</v>
      </c>
      <c r="G32" s="11">
        <f t="shared" ca="1" si="1"/>
        <v>0</v>
      </c>
    </row>
    <row r="33" spans="1:7" ht="15" x14ac:dyDescent="0.25">
      <c r="A33" s="1" t="s">
        <v>883</v>
      </c>
      <c r="C33" s="11">
        <f ca="1">ROUND(C$6*C$32/2,0)</f>
        <v>0</v>
      </c>
      <c r="D33" s="11">
        <f ca="1">ROUND(D$6*D$32/2,0)</f>
        <v>0</v>
      </c>
      <c r="E33" s="11">
        <f ca="1">ROUND(E$6*E$32/2,0)</f>
        <v>0</v>
      </c>
      <c r="F33" s="11">
        <f ca="1">ROUND(F$6*F$32/2,0)</f>
        <v>0</v>
      </c>
      <c r="G33" s="11">
        <f ca="1">ROUND(G$6*G$32/2,0)</f>
        <v>0</v>
      </c>
    </row>
    <row r="34" spans="1:7" ht="15" x14ac:dyDescent="0.25">
      <c r="A34" s="1" t="s">
        <v>865</v>
      </c>
      <c r="C34" s="11">
        <f ca="1">ROUND(C$6*SUM($B$37:B$37),0)</f>
        <v>0</v>
      </c>
      <c r="D34" s="11">
        <f ca="1">ROUND(D$6*SUM($B$37:C$37),0)</f>
        <v>0</v>
      </c>
      <c r="E34" s="11">
        <f ca="1">ROUND(E$6*SUM($B$37:D$37),0)</f>
        <v>0</v>
      </c>
      <c r="F34" s="11">
        <f ca="1">ROUND(F$6*SUM($B$37:E$37),0)</f>
        <v>0</v>
      </c>
      <c r="G34" s="11">
        <f ca="1">ROUND(G$6*SUM($B$37:F$37),0)</f>
        <v>0</v>
      </c>
    </row>
    <row r="35" spans="1:7" ht="15" x14ac:dyDescent="0.25">
      <c r="A35" s="2" t="s">
        <v>890</v>
      </c>
      <c r="C35" s="67">
        <f ca="1">SUM(C$32:C$34)</f>
        <v>0</v>
      </c>
      <c r="D35" s="67">
        <f ca="1">SUM(D$32:D$34)</f>
        <v>0</v>
      </c>
      <c r="E35" s="67">
        <f ca="1">SUM(E$32:E$34)</f>
        <v>0</v>
      </c>
      <c r="F35" s="67">
        <f ca="1">SUM(F$32:F$34)</f>
        <v>0</v>
      </c>
      <c r="G35" s="67">
        <f ca="1">SUM(G$32:G$34)</f>
        <v>0</v>
      </c>
    </row>
    <row r="36" spans="1:7" ht="15" x14ac:dyDescent="0.25">
      <c r="A36" s="1" t="s">
        <v>882</v>
      </c>
      <c r="C36" s="11">
        <f>SUM(-C$13,C$23,C$24,C$27,C$29-B$29)</f>
        <v>0</v>
      </c>
      <c r="D36" s="11">
        <f t="shared" ref="D36:G36" si="2">SUM(-D$13,D$23,D$24,D$27,D$29-C$29)</f>
        <v>0</v>
      </c>
      <c r="E36" s="11">
        <f t="shared" si="2"/>
        <v>0</v>
      </c>
      <c r="F36" s="11">
        <f t="shared" si="2"/>
        <v>0</v>
      </c>
      <c r="G36" s="11">
        <f t="shared" si="2"/>
        <v>0</v>
      </c>
    </row>
    <row r="37" spans="1:7" ht="15" x14ac:dyDescent="0.25">
      <c r="A37" s="1" t="s">
        <v>881</v>
      </c>
      <c r="C37" s="11">
        <f ca="1">SUM(C$35,C$36)</f>
        <v>0</v>
      </c>
      <c r="D37" s="11">
        <f ca="1">SUM(D$35,D$36)</f>
        <v>0</v>
      </c>
      <c r="E37" s="11">
        <f ca="1">SUM(E$35,E$36)</f>
        <v>0</v>
      </c>
      <c r="F37" s="11">
        <f ca="1">SUM(F$35,F$36)</f>
        <v>0</v>
      </c>
      <c r="G37" s="11">
        <f ca="1">SUM(G$35,G$36)</f>
        <v>0</v>
      </c>
    </row>
    <row r="38" spans="1:7" ht="15" x14ac:dyDescent="0.25">
      <c r="A38" s="2" t="s">
        <v>891</v>
      </c>
      <c r="C38" s="67">
        <f ca="1">SUM($B$37:C$37)</f>
        <v>0</v>
      </c>
      <c r="D38" s="67">
        <f ca="1">SUM($B$37:D$37)</f>
        <v>0</v>
      </c>
      <c r="E38" s="67">
        <f ca="1">SUM($B$37:E$37)</f>
        <v>0</v>
      </c>
      <c r="F38" s="67">
        <f ca="1">SUM($B$37:F$37)</f>
        <v>0</v>
      </c>
      <c r="G38" s="67">
        <f ca="1">SUM($B$37:G$37)</f>
        <v>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5"/>
  <sheetViews>
    <sheetView zoomScaleNormal="100" workbookViewId="0">
      <selection activeCell="O61" sqref="O61"/>
    </sheetView>
  </sheetViews>
  <sheetFormatPr defaultRowHeight="14.25" x14ac:dyDescent="0.2"/>
  <cols>
    <col min="1" max="1" width="85.7109375" style="1" customWidth="1"/>
    <col min="2" max="14" width="10.7109375" style="1" customWidth="1"/>
    <col min="15" max="16384" width="9.140625" style="1"/>
  </cols>
  <sheetData>
    <row r="1" spans="1:14" ht="15" x14ac:dyDescent="0.25">
      <c r="A1" s="2" t="s">
        <v>1243</v>
      </c>
      <c r="B1" s="5"/>
      <c r="C1" s="5"/>
      <c r="D1" s="4"/>
    </row>
    <row r="2" spans="1:14" x14ac:dyDescent="0.2">
      <c r="A2" s="4" t="s">
        <v>711</v>
      </c>
    </row>
    <row r="3" spans="1:14" x14ac:dyDescent="0.2">
      <c r="A3" s="4" t="s">
        <v>712</v>
      </c>
    </row>
    <row r="4" spans="1:14" x14ac:dyDescent="0.2">
      <c r="A4" s="4" t="s">
        <v>713</v>
      </c>
    </row>
    <row r="5" spans="1:14" x14ac:dyDescent="0.2">
      <c r="A5" s="4" t="s">
        <v>722</v>
      </c>
    </row>
    <row r="6" spans="1:14" x14ac:dyDescent="0.2">
      <c r="A6" s="4" t="s">
        <v>118</v>
      </c>
      <c r="I6" s="24"/>
    </row>
    <row r="7" spans="1:14" ht="15" x14ac:dyDescent="0.25">
      <c r="A7" s="13" t="s">
        <v>119</v>
      </c>
      <c r="B7" s="5" t="s">
        <v>710</v>
      </c>
      <c r="C7" s="5" t="s">
        <v>12</v>
      </c>
      <c r="D7" s="5" t="s">
        <v>13</v>
      </c>
      <c r="E7" s="5" t="s">
        <v>14</v>
      </c>
      <c r="F7" s="5" t="s">
        <v>15</v>
      </c>
      <c r="G7" s="5" t="s">
        <v>17</v>
      </c>
      <c r="H7" s="5" t="s">
        <v>16</v>
      </c>
      <c r="I7" s="5" t="s">
        <v>18</v>
      </c>
      <c r="J7" s="5" t="s">
        <v>19</v>
      </c>
      <c r="K7" s="5" t="s">
        <v>20</v>
      </c>
      <c r="L7" s="5" t="s">
        <v>21</v>
      </c>
      <c r="M7" s="5" t="s">
        <v>23</v>
      </c>
      <c r="N7" s="5" t="s">
        <v>24</v>
      </c>
    </row>
    <row r="8" spans="1:14" ht="15" x14ac:dyDescent="0.25">
      <c r="A8" s="13"/>
      <c r="B8" s="2">
        <v>2005</v>
      </c>
      <c r="C8" s="2">
        <v>2006</v>
      </c>
      <c r="D8" s="2">
        <v>2007</v>
      </c>
      <c r="E8" s="2">
        <v>2008</v>
      </c>
      <c r="F8" s="2">
        <v>2009</v>
      </c>
      <c r="G8" s="2">
        <v>2010</v>
      </c>
      <c r="H8" s="2">
        <v>2011</v>
      </c>
      <c r="I8" s="2">
        <v>2012</v>
      </c>
      <c r="J8" s="2">
        <v>2013</v>
      </c>
      <c r="K8" s="2">
        <v>2014</v>
      </c>
      <c r="L8" s="2">
        <v>2015</v>
      </c>
      <c r="M8" s="2">
        <v>2016</v>
      </c>
      <c r="N8" s="2">
        <v>2017</v>
      </c>
    </row>
    <row r="9" spans="1:14" ht="15" x14ac:dyDescent="0.25">
      <c r="A9" s="2" t="s">
        <v>723</v>
      </c>
      <c r="B9" s="7">
        <f>'Economic Forecasts'!C$7</f>
        <v>156.78800000000001</v>
      </c>
      <c r="C9" s="7">
        <f>'Economic Forecasts'!D$7</f>
        <v>164.55699999999999</v>
      </c>
      <c r="D9" s="7">
        <f>'Economic Forecasts'!E$7</f>
        <v>175.45699999999999</v>
      </c>
      <c r="E9" s="7">
        <f>'Economic Forecasts'!F$7</f>
        <v>189.011</v>
      </c>
      <c r="F9" s="7">
        <f>'Economic Forecasts'!G$7</f>
        <v>189.505</v>
      </c>
      <c r="G9" s="7">
        <f>'Economic Forecasts'!H$7</f>
        <v>196.727</v>
      </c>
      <c r="H9" s="7">
        <f>'Economic Forecasts'!I$7</f>
        <v>205.804</v>
      </c>
      <c r="I9" s="7">
        <f>'Economic Forecasts'!J$7</f>
        <v>215.12200000000001</v>
      </c>
      <c r="J9" s="7">
        <f>'Economic Forecasts'!K$7</f>
        <v>218.75700000000001</v>
      </c>
      <c r="K9" s="7">
        <f>'Economic Forecasts'!L$7</f>
        <v>236.65</v>
      </c>
      <c r="L9" s="7">
        <f>'Economic Forecasts'!M$7</f>
        <v>245.01900000000001</v>
      </c>
      <c r="M9" s="7">
        <f>'Economic Forecasts'!N$7</f>
        <v>257.73599999999999</v>
      </c>
      <c r="N9" s="7">
        <f>'Economic Forecasts'!O$7</f>
        <v>274.22000000000003</v>
      </c>
    </row>
    <row r="10" spans="1:14" ht="15" x14ac:dyDescent="0.25">
      <c r="A10" s="4" t="s">
        <v>122</v>
      </c>
      <c r="B10" s="2"/>
      <c r="C10" s="10">
        <f>C$9/B$9-1</f>
        <v>4.9550986044850198E-2</v>
      </c>
      <c r="D10" s="10">
        <f>D$9/C$9-1</f>
        <v>6.6238446252666394E-2</v>
      </c>
      <c r="E10" s="10">
        <f>E$9/D$9-1</f>
        <v>7.7249696506836552E-2</v>
      </c>
      <c r="F10" s="10">
        <f t="shared" ref="F10:N10" si="0">F$9/E$9-1</f>
        <v>2.6136044992091101E-3</v>
      </c>
      <c r="G10" s="10">
        <f t="shared" si="0"/>
        <v>3.8109812406005084E-2</v>
      </c>
      <c r="H10" s="10">
        <f t="shared" si="0"/>
        <v>4.6140082449282582E-2</v>
      </c>
      <c r="I10" s="10">
        <f t="shared" si="0"/>
        <v>4.5276087928320274E-2</v>
      </c>
      <c r="J10" s="10">
        <f t="shared" si="0"/>
        <v>1.6897388458642082E-2</v>
      </c>
      <c r="K10" s="10">
        <f t="shared" si="0"/>
        <v>8.1793954022042703E-2</v>
      </c>
      <c r="L10" s="10">
        <f t="shared" si="0"/>
        <v>3.5364462286076481E-2</v>
      </c>
      <c r="M10" s="10">
        <f t="shared" si="0"/>
        <v>5.1902097388365709E-2</v>
      </c>
      <c r="N10" s="10">
        <f t="shared" si="0"/>
        <v>6.3956917155539195E-2</v>
      </c>
    </row>
    <row r="11" spans="1:14" ht="15" x14ac:dyDescent="0.25">
      <c r="A11" s="2"/>
      <c r="B11" s="2"/>
      <c r="C11" s="2"/>
      <c r="D11" s="17"/>
      <c r="E11" s="17"/>
      <c r="F11" s="17"/>
      <c r="G11" s="17"/>
      <c r="H11" s="17"/>
      <c r="I11" s="17"/>
      <c r="J11" s="17"/>
      <c r="K11" s="17"/>
      <c r="L11" s="17"/>
      <c r="M11" s="17"/>
      <c r="N11" s="17"/>
    </row>
    <row r="12" spans="1:14" ht="16.5" x14ac:dyDescent="0.25">
      <c r="A12" s="54" t="s">
        <v>892</v>
      </c>
      <c r="B12" s="7"/>
      <c r="C12" s="7"/>
      <c r="D12" s="7"/>
      <c r="E12" s="7"/>
      <c r="F12" s="7"/>
      <c r="G12" s="7"/>
      <c r="H12" s="7"/>
      <c r="I12" s="7"/>
      <c r="J12" s="7"/>
      <c r="K12" s="7"/>
      <c r="L12" s="7"/>
      <c r="M12" s="7"/>
      <c r="N12" s="7"/>
    </row>
    <row r="13" spans="1:14" ht="15" x14ac:dyDescent="0.25">
      <c r="A13" s="2" t="s">
        <v>698</v>
      </c>
      <c r="B13" s="7">
        <v>7.0750000000000002</v>
      </c>
      <c r="C13" s="7">
        <v>7.0910000000000002</v>
      </c>
      <c r="D13" s="7">
        <v>5.8599999999999994</v>
      </c>
      <c r="E13" s="7">
        <v>5.6370000000000005</v>
      </c>
      <c r="F13" s="7">
        <v>-3.8930000000000007</v>
      </c>
      <c r="G13" s="7">
        <v>-6.3149999999999977</v>
      </c>
      <c r="H13" s="7">
        <v>-18.396000000000001</v>
      </c>
      <c r="I13" s="7">
        <v>-9.24</v>
      </c>
      <c r="J13" s="7">
        <v>-4.4139999999999997</v>
      </c>
      <c r="K13" s="7">
        <v>-2.8020000000000005</v>
      </c>
      <c r="L13" s="7">
        <v>0.41399999999999998</v>
      </c>
      <c r="M13" s="7">
        <v>1.831</v>
      </c>
      <c r="N13" s="7">
        <v>4.069</v>
      </c>
    </row>
    <row r="14" spans="1:14" x14ac:dyDescent="0.2">
      <c r="A14" s="4" t="s">
        <v>714</v>
      </c>
      <c r="B14" s="19">
        <f t="shared" ref="B14:N14" si="1">B$13/B$9</f>
        <v>4.5124626884710563E-2</v>
      </c>
      <c r="C14" s="19">
        <f t="shared" si="1"/>
        <v>4.3091451594280406E-2</v>
      </c>
      <c r="D14" s="19">
        <f t="shared" si="1"/>
        <v>3.3398496497717388E-2</v>
      </c>
      <c r="E14" s="19">
        <f t="shared" si="1"/>
        <v>2.9823661056763894E-2</v>
      </c>
      <c r="F14" s="19">
        <f t="shared" si="1"/>
        <v>-2.0542993588559672E-2</v>
      </c>
      <c r="G14" s="19">
        <f t="shared" si="1"/>
        <v>-3.2100321765695598E-2</v>
      </c>
      <c r="H14" s="19">
        <f t="shared" si="1"/>
        <v>-8.938601776447494E-2</v>
      </c>
      <c r="I14" s="19">
        <f t="shared" si="1"/>
        <v>-4.2952371212614235E-2</v>
      </c>
      <c r="J14" s="19">
        <f t="shared" si="1"/>
        <v>-2.017764002980476E-2</v>
      </c>
      <c r="K14" s="19">
        <f t="shared" si="1"/>
        <v>-1.1840270441580395E-2</v>
      </c>
      <c r="L14" s="19">
        <f t="shared" si="1"/>
        <v>1.6896648831315122E-3</v>
      </c>
      <c r="M14" s="19">
        <f t="shared" si="1"/>
        <v>7.1041686066362483E-3</v>
      </c>
      <c r="N14" s="19">
        <f t="shared" si="1"/>
        <v>1.4838450878856392E-2</v>
      </c>
    </row>
    <row r="15" spans="1:14" ht="15" x14ac:dyDescent="0.25">
      <c r="A15" s="2" t="s">
        <v>700</v>
      </c>
      <c r="B15" s="7">
        <v>19.879000000000001</v>
      </c>
      <c r="C15" s="7">
        <v>16.163</v>
      </c>
      <c r="D15" s="7">
        <v>13.196000000000002</v>
      </c>
      <c r="E15" s="7">
        <v>10.257999999999996</v>
      </c>
      <c r="F15" s="7">
        <v>17.119</v>
      </c>
      <c r="G15" s="7">
        <v>26.737999999999996</v>
      </c>
      <c r="H15" s="7">
        <v>40.128</v>
      </c>
      <c r="I15" s="7">
        <v>50.671000000000006</v>
      </c>
      <c r="J15" s="7">
        <v>55.834999999999994</v>
      </c>
      <c r="K15" s="7">
        <v>59.931000000000012</v>
      </c>
      <c r="L15" s="7">
        <v>60.631000000000007</v>
      </c>
      <c r="M15" s="7">
        <v>61.88</v>
      </c>
      <c r="N15" s="7">
        <v>59.48</v>
      </c>
    </row>
    <row r="16" spans="1:14" x14ac:dyDescent="0.2">
      <c r="A16" s="4" t="str">
        <f>$A$14</f>
        <v>As percentage of nominal GDP</v>
      </c>
      <c r="B16" s="19">
        <f t="shared" ref="B16:N16" si="2">B$15/B$9</f>
        <v>0.12678903997754931</v>
      </c>
      <c r="C16" s="19">
        <f t="shared" si="2"/>
        <v>9.8221285025857308E-2</v>
      </c>
      <c r="D16" s="19">
        <f t="shared" si="2"/>
        <v>7.5209310543324012E-2</v>
      </c>
      <c r="E16" s="19">
        <f t="shared" si="2"/>
        <v>5.4271973588838722E-2</v>
      </c>
      <c r="F16" s="19">
        <f t="shared" si="2"/>
        <v>9.0335347352312606E-2</v>
      </c>
      <c r="G16" s="19">
        <f t="shared" si="2"/>
        <v>0.13591423647999509</v>
      </c>
      <c r="H16" s="19">
        <f t="shared" si="2"/>
        <v>0.19498163301004839</v>
      </c>
      <c r="I16" s="19">
        <f t="shared" si="2"/>
        <v>0.23554541144094981</v>
      </c>
      <c r="J16" s="19">
        <f t="shared" si="2"/>
        <v>0.25523754668422033</v>
      </c>
      <c r="K16" s="19">
        <f t="shared" si="2"/>
        <v>0.25324741178956267</v>
      </c>
      <c r="L16" s="19">
        <f t="shared" si="2"/>
        <v>0.24745427905590997</v>
      </c>
      <c r="M16" s="19">
        <f t="shared" si="2"/>
        <v>0.24009063537883729</v>
      </c>
      <c r="N16" s="19">
        <f t="shared" si="2"/>
        <v>0.21690613376121359</v>
      </c>
    </row>
    <row r="17" spans="1:14" ht="15" x14ac:dyDescent="0.25">
      <c r="A17" s="2" t="s">
        <v>647</v>
      </c>
      <c r="B17" s="7">
        <v>3.1040000000000001</v>
      </c>
      <c r="C17" s="7">
        <v>2.9849999999999999</v>
      </c>
      <c r="D17" s="7">
        <v>2.7930000000000001</v>
      </c>
      <c r="E17" s="7">
        <v>2.0569999999999999</v>
      </c>
      <c r="F17" s="7">
        <v>-8.6389999999999993</v>
      </c>
      <c r="G17" s="7">
        <v>-9</v>
      </c>
      <c r="H17" s="7">
        <v>-13.343</v>
      </c>
      <c r="I17" s="7">
        <v>-10.644</v>
      </c>
      <c r="J17" s="7">
        <v>-5.742</v>
      </c>
      <c r="K17" s="7">
        <v>-4.109</v>
      </c>
      <c r="L17" s="7">
        <v>-1.827</v>
      </c>
      <c r="M17" s="7">
        <v>-1.3220000000000001</v>
      </c>
      <c r="N17" s="7">
        <v>2.5739999999999998</v>
      </c>
    </row>
    <row r="18" spans="1:14" x14ac:dyDescent="0.2">
      <c r="A18" s="4" t="str">
        <f>$A$14</f>
        <v>As percentage of nominal GDP</v>
      </c>
      <c r="B18" s="19">
        <f t="shared" ref="B18:N18" si="3">B$17/B$9</f>
        <v>1.9797433477051814E-2</v>
      </c>
      <c r="C18" s="19">
        <f t="shared" si="3"/>
        <v>1.8139611198551262E-2</v>
      </c>
      <c r="D18" s="19">
        <f t="shared" si="3"/>
        <v>1.5918430156676565E-2</v>
      </c>
      <c r="E18" s="19">
        <f t="shared" si="3"/>
        <v>1.0882964483548576E-2</v>
      </c>
      <c r="F18" s="19">
        <f t="shared" si="3"/>
        <v>-4.5587187673148462E-2</v>
      </c>
      <c r="G18" s="19">
        <f t="shared" si="3"/>
        <v>-4.5748677100753837E-2</v>
      </c>
      <c r="H18" s="19">
        <f t="shared" si="3"/>
        <v>-6.4833530932343397E-2</v>
      </c>
      <c r="I18" s="19">
        <f t="shared" si="3"/>
        <v>-4.9478900344920557E-2</v>
      </c>
      <c r="J18" s="19">
        <f t="shared" si="3"/>
        <v>-2.6248302911449691E-2</v>
      </c>
      <c r="K18" s="19">
        <f t="shared" si="3"/>
        <v>-1.736319459116839E-2</v>
      </c>
      <c r="L18" s="19">
        <f t="shared" si="3"/>
        <v>-7.4565645929499345E-3</v>
      </c>
      <c r="M18" s="19">
        <f t="shared" si="3"/>
        <v>-5.1292795728962977E-3</v>
      </c>
      <c r="N18" s="19">
        <f t="shared" si="3"/>
        <v>9.3866238786375882E-3</v>
      </c>
    </row>
    <row r="19" spans="1:14" ht="15" x14ac:dyDescent="0.25">
      <c r="A19" s="2" t="s">
        <v>699</v>
      </c>
      <c r="B19" s="7">
        <v>35.478000000000002</v>
      </c>
      <c r="C19" s="7">
        <v>35.866999999999997</v>
      </c>
      <c r="D19" s="7">
        <v>36.805</v>
      </c>
      <c r="E19" s="7">
        <v>37.744999999999997</v>
      </c>
      <c r="F19" s="7">
        <v>50.972999999999999</v>
      </c>
      <c r="G19" s="7">
        <v>58.890999999999998</v>
      </c>
      <c r="H19" s="7">
        <v>77.290000000000006</v>
      </c>
      <c r="I19" s="7">
        <v>84.168000000000006</v>
      </c>
      <c r="J19" s="7">
        <v>84.286000000000001</v>
      </c>
      <c r="K19" s="7">
        <v>88.468000000000004</v>
      </c>
      <c r="L19" s="7">
        <v>93.156000000000006</v>
      </c>
      <c r="M19" s="7">
        <v>93.283000000000001</v>
      </c>
      <c r="N19" s="7">
        <v>92.62</v>
      </c>
    </row>
    <row r="20" spans="1:14" x14ac:dyDescent="0.2">
      <c r="A20" s="4" t="str">
        <f>$A$14</f>
        <v>As percentage of nominal GDP</v>
      </c>
      <c r="B20" s="19">
        <f t="shared" ref="B20:N20" si="4">B$19/B$9</f>
        <v>0.22628007245452458</v>
      </c>
      <c r="C20" s="19">
        <f t="shared" si="4"/>
        <v>0.2179609497013193</v>
      </c>
      <c r="D20" s="19">
        <f t="shared" si="4"/>
        <v>0.20976649549462262</v>
      </c>
      <c r="E20" s="19">
        <f t="shared" si="4"/>
        <v>0.19969737211061789</v>
      </c>
      <c r="F20" s="19">
        <f t="shared" si="4"/>
        <v>0.26897971029788131</v>
      </c>
      <c r="G20" s="19">
        <f t="shared" si="4"/>
        <v>0.29935392701561048</v>
      </c>
      <c r="H20" s="19">
        <f t="shared" si="4"/>
        <v>0.37555149559775325</v>
      </c>
      <c r="I20" s="19">
        <f t="shared" si="4"/>
        <v>0.3912570541367224</v>
      </c>
      <c r="J20" s="19">
        <f t="shared" si="4"/>
        <v>0.38529509912825649</v>
      </c>
      <c r="K20" s="19">
        <f t="shared" si="4"/>
        <v>0.37383477709697865</v>
      </c>
      <c r="L20" s="19">
        <f t="shared" si="4"/>
        <v>0.38019908660144724</v>
      </c>
      <c r="M20" s="19">
        <f t="shared" si="4"/>
        <v>0.36193236490051839</v>
      </c>
      <c r="N20" s="19">
        <f t="shared" si="4"/>
        <v>0.33775800452191668</v>
      </c>
    </row>
    <row r="21" spans="1:14" ht="15" x14ac:dyDescent="0.25">
      <c r="A21" s="2" t="s">
        <v>245</v>
      </c>
      <c r="B21" s="7">
        <v>50.808999999999997</v>
      </c>
      <c r="C21" s="7">
        <v>55.499000000000002</v>
      </c>
      <c r="D21" s="7">
        <v>57.970999999999997</v>
      </c>
      <c r="E21" s="7">
        <v>61.575000000000003</v>
      </c>
      <c r="F21" s="7">
        <v>59.191000000000003</v>
      </c>
      <c r="G21" s="7">
        <v>55.756999999999998</v>
      </c>
      <c r="H21" s="7">
        <v>57.198999999999998</v>
      </c>
      <c r="I21" s="7">
        <v>60.427999999999997</v>
      </c>
      <c r="J21" s="7">
        <v>63.805</v>
      </c>
      <c r="K21" s="7">
        <v>67.093000000000004</v>
      </c>
      <c r="L21" s="7">
        <v>72.212999999999994</v>
      </c>
      <c r="M21" s="7">
        <v>76.120999999999995</v>
      </c>
      <c r="N21" s="7">
        <v>81.781999999999996</v>
      </c>
    </row>
    <row r="22" spans="1:14" x14ac:dyDescent="0.2">
      <c r="A22" s="4" t="str">
        <f>$A$14</f>
        <v>As percentage of nominal GDP</v>
      </c>
      <c r="B22" s="19">
        <f t="shared" ref="B22:N22" si="5">B$21/B$9</f>
        <v>0.32406179044314615</v>
      </c>
      <c r="C22" s="19">
        <f t="shared" si="5"/>
        <v>0.33726307601621325</v>
      </c>
      <c r="D22" s="19">
        <f t="shared" si="5"/>
        <v>0.33040004103569537</v>
      </c>
      <c r="E22" s="19">
        <f t="shared" si="5"/>
        <v>0.32577469036193663</v>
      </c>
      <c r="F22" s="19">
        <f t="shared" si="5"/>
        <v>0.31234532070393922</v>
      </c>
      <c r="G22" s="19">
        <f t="shared" si="5"/>
        <v>0.28342322101185907</v>
      </c>
      <c r="H22" s="19">
        <f t="shared" si="5"/>
        <v>0.27792948630736036</v>
      </c>
      <c r="I22" s="19">
        <f t="shared" si="5"/>
        <v>0.28090107009046028</v>
      </c>
      <c r="J22" s="19">
        <f t="shared" si="5"/>
        <v>0.29167066653867074</v>
      </c>
      <c r="K22" s="19">
        <f t="shared" si="5"/>
        <v>0.28351151489541515</v>
      </c>
      <c r="L22" s="19">
        <f t="shared" si="5"/>
        <v>0.29472408262216399</v>
      </c>
      <c r="M22" s="19">
        <f t="shared" si="5"/>
        <v>0.29534484899276781</v>
      </c>
      <c r="N22" s="19">
        <f t="shared" si="5"/>
        <v>0.29823499380059804</v>
      </c>
    </row>
    <row r="23" spans="1:14" ht="15" x14ac:dyDescent="0.25">
      <c r="A23" s="2" t="s">
        <v>247</v>
      </c>
      <c r="B23" s="7">
        <v>44.660000000000011</v>
      </c>
      <c r="C23" s="7">
        <v>49.08400000000001</v>
      </c>
      <c r="D23" s="7">
        <v>53.76400000000001</v>
      </c>
      <c r="E23" s="7">
        <v>56.752999999999993</v>
      </c>
      <c r="F23" s="7">
        <v>63.710999999999991</v>
      </c>
      <c r="G23" s="7">
        <v>63.553999999999995</v>
      </c>
      <c r="H23" s="7">
        <v>70.099000000000004</v>
      </c>
      <c r="I23" s="7">
        <v>68.938999999999993</v>
      </c>
      <c r="J23" s="7">
        <v>69.962000000000003</v>
      </c>
      <c r="K23" s="7">
        <v>71.173999999999992</v>
      </c>
      <c r="L23" s="7">
        <v>72.362999999999985</v>
      </c>
      <c r="M23" s="7">
        <v>73.929000000000002</v>
      </c>
      <c r="N23" s="7">
        <v>76.338999999999999</v>
      </c>
    </row>
    <row r="24" spans="1:14" x14ac:dyDescent="0.2">
      <c r="A24" s="4" t="str">
        <f>$A$14</f>
        <v>As percentage of nominal GDP</v>
      </c>
      <c r="B24" s="19">
        <f t="shared" ref="B24:N24" si="6">B$23/B$9</f>
        <v>0.28484322779804583</v>
      </c>
      <c r="C24" s="19">
        <f t="shared" si="6"/>
        <v>0.29827962347393311</v>
      </c>
      <c r="D24" s="19">
        <f t="shared" si="6"/>
        <v>0.30642265626335802</v>
      </c>
      <c r="E24" s="19">
        <f t="shared" si="6"/>
        <v>0.30026294765913092</v>
      </c>
      <c r="F24" s="19">
        <f t="shared" si="6"/>
        <v>0.33619693411783325</v>
      </c>
      <c r="G24" s="19">
        <f t="shared" si="6"/>
        <v>0.32305682494014543</v>
      </c>
      <c r="H24" s="19">
        <f t="shared" si="6"/>
        <v>0.34061048376124858</v>
      </c>
      <c r="I24" s="19">
        <f t="shared" si="6"/>
        <v>0.32046466656130007</v>
      </c>
      <c r="J24" s="19">
        <f t="shared" si="6"/>
        <v>0.31981605160063448</v>
      </c>
      <c r="K24" s="19">
        <f t="shared" si="6"/>
        <v>0.30075639129516157</v>
      </c>
      <c r="L24" s="19">
        <f t="shared" si="6"/>
        <v>0.29533628004358842</v>
      </c>
      <c r="M24" s="19">
        <f t="shared" si="6"/>
        <v>0.28684002234844957</v>
      </c>
      <c r="N24" s="19">
        <f t="shared" si="6"/>
        <v>0.27838596747137334</v>
      </c>
    </row>
    <row r="25" spans="1:14" ht="15" x14ac:dyDescent="0.25">
      <c r="A25" s="2" t="s">
        <v>262</v>
      </c>
      <c r="B25" s="7">
        <v>5.8310000000000004</v>
      </c>
      <c r="C25" s="7">
        <v>7.4610000000000003</v>
      </c>
      <c r="D25" s="7">
        <v>6.51</v>
      </c>
      <c r="E25" s="7">
        <v>3.891</v>
      </c>
      <c r="F25" s="7">
        <v>5.8620000000000001</v>
      </c>
      <c r="G25" s="7">
        <v>7</v>
      </c>
      <c r="H25" s="7">
        <v>9.2669999999999995</v>
      </c>
      <c r="I25" s="7">
        <v>11.670999999999999</v>
      </c>
      <c r="J25" s="7">
        <v>0.371</v>
      </c>
      <c r="K25" s="7">
        <v>0.29199999999999998</v>
      </c>
      <c r="L25" s="7">
        <v>3.879</v>
      </c>
      <c r="M25" s="7">
        <v>-0.91200000000000003</v>
      </c>
      <c r="N25" s="7">
        <v>12.064</v>
      </c>
    </row>
    <row r="26" spans="1:14" x14ac:dyDescent="0.2">
      <c r="A26" s="4" t="str">
        <f>$A$14</f>
        <v>As percentage of nominal GDP</v>
      </c>
      <c r="B26" s="19">
        <f t="shared" ref="B26:N26" si="7">B$25/B$9</f>
        <v>3.719034619996428E-2</v>
      </c>
      <c r="C26" s="19">
        <f t="shared" si="7"/>
        <v>4.5339912613866322E-2</v>
      </c>
      <c r="D26" s="19">
        <f t="shared" si="7"/>
        <v>3.7103107883982973E-2</v>
      </c>
      <c r="E26" s="19">
        <f t="shared" si="7"/>
        <v>2.058610345429631E-2</v>
      </c>
      <c r="F26" s="19">
        <f t="shared" si="7"/>
        <v>3.0933220759346722E-2</v>
      </c>
      <c r="G26" s="19">
        <f t="shared" si="7"/>
        <v>3.5582304411697428E-2</v>
      </c>
      <c r="H26" s="19">
        <f t="shared" si="7"/>
        <v>4.5028279333735009E-2</v>
      </c>
      <c r="I26" s="19">
        <f t="shared" si="7"/>
        <v>5.4252935543552025E-2</v>
      </c>
      <c r="J26" s="19">
        <f t="shared" si="7"/>
        <v>1.6959457297366484E-3</v>
      </c>
      <c r="K26" s="19">
        <f t="shared" si="7"/>
        <v>1.2338897105429959E-3</v>
      </c>
      <c r="L26" s="19">
        <f t="shared" si="7"/>
        <v>1.5831425318036559E-2</v>
      </c>
      <c r="M26" s="19">
        <f t="shared" si="7"/>
        <v>-3.5385045162491854E-3</v>
      </c>
      <c r="N26" s="19">
        <f t="shared" si="7"/>
        <v>4.3993873532200418E-2</v>
      </c>
    </row>
    <row r="27" spans="1:14" ht="15" x14ac:dyDescent="0.25">
      <c r="A27" s="2" t="s">
        <v>646</v>
      </c>
      <c r="D27" s="7">
        <v>3.955999999999996</v>
      </c>
      <c r="E27" s="7">
        <v>4.9380000000000024</v>
      </c>
      <c r="F27" s="7">
        <v>-3.9630000000000001</v>
      </c>
      <c r="G27" s="7">
        <v>-7.6210000000000022</v>
      </c>
      <c r="H27" s="7">
        <v>-12.003</v>
      </c>
      <c r="I27" s="7">
        <v>-6.7950000000000017</v>
      </c>
      <c r="J27" s="7">
        <v>-4.642000000000003</v>
      </c>
      <c r="K27" s="7">
        <v>-2.7560000000000002</v>
      </c>
      <c r="L27" s="7">
        <v>1.1809999999999974</v>
      </c>
      <c r="M27" s="7">
        <v>3.3929999999999998</v>
      </c>
      <c r="N27" s="7">
        <v>6.3390000000000004</v>
      </c>
    </row>
    <row r="28" spans="1:14" x14ac:dyDescent="0.2">
      <c r="A28" s="4" t="str">
        <f>$A$14</f>
        <v>As percentage of nominal GDP</v>
      </c>
      <c r="D28" s="19">
        <f t="shared" ref="D28:N28" si="8">D$27/D$9</f>
        <v>2.2546834837025576E-2</v>
      </c>
      <c r="E28" s="19">
        <f t="shared" si="8"/>
        <v>2.612546359735678E-2</v>
      </c>
      <c r="F28" s="19">
        <f t="shared" si="8"/>
        <v>-2.0912376982137677E-2</v>
      </c>
      <c r="G28" s="19">
        <f t="shared" si="8"/>
        <v>-3.8738963131649456E-2</v>
      </c>
      <c r="H28" s="19">
        <f t="shared" si="8"/>
        <v>-5.8322481584420126E-2</v>
      </c>
      <c r="I28" s="19">
        <f t="shared" si="8"/>
        <v>-3.158672753135431E-2</v>
      </c>
      <c r="J28" s="19">
        <f t="shared" si="8"/>
        <v>-2.1219892392014897E-2</v>
      </c>
      <c r="K28" s="19">
        <f t="shared" si="8"/>
        <v>-1.1645890555672936E-2</v>
      </c>
      <c r="L28" s="19">
        <f t="shared" si="8"/>
        <v>4.8200343646819122E-3</v>
      </c>
      <c r="M28" s="19">
        <f t="shared" si="8"/>
        <v>1.3164633578545488E-2</v>
      </c>
      <c r="N28" s="19">
        <f t="shared" si="8"/>
        <v>2.3116475822332432E-2</v>
      </c>
    </row>
    <row r="29" spans="1:14" ht="15" x14ac:dyDescent="0.25">
      <c r="A29" s="2" t="s">
        <v>701</v>
      </c>
      <c r="B29" s="7">
        <v>65.131</v>
      </c>
      <c r="C29" s="7">
        <v>71.188999999999993</v>
      </c>
      <c r="D29" s="7">
        <v>74.349000000000004</v>
      </c>
      <c r="E29" s="7">
        <v>81.234999999999999</v>
      </c>
      <c r="F29" s="7">
        <v>79.215000000000003</v>
      </c>
      <c r="G29" s="7">
        <v>74.266000000000005</v>
      </c>
      <c r="H29" s="7">
        <v>81.212000000000003</v>
      </c>
      <c r="I29" s="7">
        <v>83.346000000000004</v>
      </c>
      <c r="J29" s="7">
        <v>86.311000000000007</v>
      </c>
      <c r="K29" s="7">
        <v>89.198999999999998</v>
      </c>
      <c r="L29" s="7">
        <v>95.013000000000005</v>
      </c>
      <c r="M29" s="7">
        <v>98.159000000000006</v>
      </c>
      <c r="N29" s="7">
        <v>104.227</v>
      </c>
    </row>
    <row r="30" spans="1:14" x14ac:dyDescent="0.2">
      <c r="A30" s="4" t="str">
        <f>$A$14</f>
        <v>As percentage of nominal GDP</v>
      </c>
      <c r="B30" s="19">
        <f t="shared" ref="B30:N30" si="9">B$29/B$9</f>
        <v>0.41540806694389876</v>
      </c>
      <c r="C30" s="19">
        <f t="shared" si="9"/>
        <v>0.43260997709000526</v>
      </c>
      <c r="D30" s="19">
        <f t="shared" si="9"/>
        <v>0.42374484916532257</v>
      </c>
      <c r="E30" s="19">
        <f t="shared" si="9"/>
        <v>0.42978980059361627</v>
      </c>
      <c r="F30" s="19">
        <f t="shared" si="9"/>
        <v>0.41801007888973907</v>
      </c>
      <c r="G30" s="19">
        <f t="shared" si="9"/>
        <v>0.37750791706273162</v>
      </c>
      <c r="H30" s="19">
        <f t="shared" si="9"/>
        <v>0.39460846242055547</v>
      </c>
      <c r="I30" s="19">
        <f t="shared" si="9"/>
        <v>0.38743596656780804</v>
      </c>
      <c r="J30" s="19">
        <f t="shared" si="9"/>
        <v>0.39455194576630692</v>
      </c>
      <c r="K30" s="19">
        <f t="shared" si="9"/>
        <v>0.37692372702302979</v>
      </c>
      <c r="L30" s="19">
        <f t="shared" si="9"/>
        <v>0.38777809067868207</v>
      </c>
      <c r="M30" s="19">
        <f t="shared" si="9"/>
        <v>0.38085094825713134</v>
      </c>
      <c r="N30" s="19">
        <f t="shared" si="9"/>
        <v>0.38008533294435121</v>
      </c>
    </row>
    <row r="31" spans="1:14" ht="15" x14ac:dyDescent="0.25">
      <c r="A31" s="2" t="s">
        <v>702</v>
      </c>
      <c r="B31" s="7">
        <v>58.057000000000002</v>
      </c>
      <c r="C31" s="7">
        <v>64.097999999999999</v>
      </c>
      <c r="D31" s="7">
        <v>68.489000000000004</v>
      </c>
      <c r="E31" s="7">
        <v>75.597999999999999</v>
      </c>
      <c r="F31" s="7">
        <v>83.108000000000004</v>
      </c>
      <c r="G31" s="7">
        <v>80.581000000000003</v>
      </c>
      <c r="H31" s="7">
        <v>99.608000000000004</v>
      </c>
      <c r="I31" s="7">
        <v>92.585999999999999</v>
      </c>
      <c r="J31" s="7">
        <v>90.662999999999997</v>
      </c>
      <c r="K31" s="7">
        <v>91.841999999999999</v>
      </c>
      <c r="L31" s="7">
        <v>94.272000000000006</v>
      </c>
      <c r="M31" s="7">
        <v>95.88</v>
      </c>
      <c r="N31" s="7">
        <v>99.811999999999998</v>
      </c>
    </row>
    <row r="32" spans="1:14" x14ac:dyDescent="0.2">
      <c r="A32" s="4" t="str">
        <f>$A$14</f>
        <v>As percentage of nominal GDP</v>
      </c>
      <c r="B32" s="19">
        <f t="shared" ref="B32:N32" si="10">B$31/B$9</f>
        <v>0.37028981809832384</v>
      </c>
      <c r="C32" s="19">
        <f t="shared" si="10"/>
        <v>0.38951852549572491</v>
      </c>
      <c r="D32" s="19">
        <f t="shared" si="10"/>
        <v>0.3903463526676052</v>
      </c>
      <c r="E32" s="19">
        <f t="shared" si="10"/>
        <v>0.39996613953685234</v>
      </c>
      <c r="F32" s="19">
        <f t="shared" si="10"/>
        <v>0.43855307247829878</v>
      </c>
      <c r="G32" s="19">
        <f t="shared" si="10"/>
        <v>0.40960823882842723</v>
      </c>
      <c r="H32" s="19">
        <f t="shared" si="10"/>
        <v>0.48399448018503044</v>
      </c>
      <c r="I32" s="19">
        <f t="shared" si="10"/>
        <v>0.43038833778042224</v>
      </c>
      <c r="J32" s="19">
        <f t="shared" si="10"/>
        <v>0.41444616629410713</v>
      </c>
      <c r="K32" s="19">
        <f t="shared" si="10"/>
        <v>0.38809211916332137</v>
      </c>
      <c r="L32" s="19">
        <f t="shared" si="10"/>
        <v>0.38475383541684521</v>
      </c>
      <c r="M32" s="19">
        <f t="shared" si="10"/>
        <v>0.37200856690567091</v>
      </c>
      <c r="N32" s="19">
        <f t="shared" si="10"/>
        <v>0.36398512143534384</v>
      </c>
    </row>
    <row r="33" spans="1:14" ht="15" x14ac:dyDescent="0.25">
      <c r="A33" s="2" t="s">
        <v>644</v>
      </c>
      <c r="B33" s="7">
        <v>5.931</v>
      </c>
      <c r="C33" s="7">
        <v>9.5419999999999998</v>
      </c>
      <c r="D33" s="7">
        <v>8.0220000000000002</v>
      </c>
      <c r="E33" s="7">
        <v>2.3839999999999999</v>
      </c>
      <c r="F33" s="7">
        <v>-10.505000000000001</v>
      </c>
      <c r="G33" s="7">
        <v>-4.5090000000000003</v>
      </c>
      <c r="H33" s="7">
        <v>-13.36</v>
      </c>
      <c r="I33" s="7">
        <v>-14.897</v>
      </c>
      <c r="J33" s="7">
        <v>6.9249999999999998</v>
      </c>
      <c r="K33" s="7">
        <v>2.9390000000000001</v>
      </c>
      <c r="L33" s="7">
        <v>5.7709999999999999</v>
      </c>
      <c r="M33" s="7">
        <v>-5.3689999999999998</v>
      </c>
      <c r="N33" s="7">
        <v>12.317</v>
      </c>
    </row>
    <row r="34" spans="1:14" x14ac:dyDescent="0.2">
      <c r="A34" s="4" t="str">
        <f>$A$14</f>
        <v>As percentage of nominal GDP</v>
      </c>
      <c r="B34" s="19">
        <f t="shared" ref="B34:N34" si="11">B$33/B$9</f>
        <v>3.7828150113529094E-2</v>
      </c>
      <c r="C34" s="19">
        <f t="shared" si="11"/>
        <v>5.7985986618618479E-2</v>
      </c>
      <c r="D34" s="19">
        <f t="shared" si="11"/>
        <v>4.5720603908649987E-2</v>
      </c>
      <c r="E34" s="19">
        <f t="shared" si="11"/>
        <v>1.261302252249869E-2</v>
      </c>
      <c r="F34" s="19">
        <f t="shared" si="11"/>
        <v>-5.5433893564813597E-2</v>
      </c>
      <c r="G34" s="19">
        <f t="shared" si="11"/>
        <v>-2.2920087227477674E-2</v>
      </c>
      <c r="H34" s="19">
        <f t="shared" si="11"/>
        <v>-6.4916133797205108E-2</v>
      </c>
      <c r="I34" s="19">
        <f t="shared" si="11"/>
        <v>-6.9249077267782927E-2</v>
      </c>
      <c r="J34" s="19">
        <f t="shared" si="11"/>
        <v>3.1656129860987307E-2</v>
      </c>
      <c r="K34" s="19">
        <f t="shared" si="11"/>
        <v>1.2419184449609127E-2</v>
      </c>
      <c r="L34" s="19">
        <f t="shared" si="11"/>
        <v>2.3553275460270428E-2</v>
      </c>
      <c r="M34" s="19">
        <f t="shared" si="11"/>
        <v>-2.0831393363752056E-2</v>
      </c>
      <c r="N34" s="19">
        <f t="shared" si="11"/>
        <v>4.4916490409160521E-2</v>
      </c>
    </row>
    <row r="35" spans="1:14" ht="15" x14ac:dyDescent="0.25">
      <c r="A35" s="2" t="s">
        <v>706</v>
      </c>
      <c r="B35" s="7">
        <v>47.468000000000004</v>
      </c>
      <c r="C35" s="7">
        <v>50.972999999999999</v>
      </c>
      <c r="D35" s="7">
        <v>53.476999999999997</v>
      </c>
      <c r="E35" s="7">
        <v>56.747</v>
      </c>
      <c r="F35" s="7">
        <v>54.680999999999997</v>
      </c>
      <c r="G35" s="7">
        <v>50.744</v>
      </c>
      <c r="H35" s="7">
        <v>51.557000000000002</v>
      </c>
      <c r="I35" s="7">
        <v>55.081000000000003</v>
      </c>
      <c r="J35" s="7">
        <v>58.651000000000003</v>
      </c>
      <c r="K35" s="7">
        <v>61.563000000000002</v>
      </c>
      <c r="L35" s="7">
        <v>66.635999999999996</v>
      </c>
      <c r="M35" s="7">
        <v>70.444999999999993</v>
      </c>
      <c r="N35" s="7">
        <v>75.644000000000005</v>
      </c>
    </row>
    <row r="36" spans="1:14" x14ac:dyDescent="0.2">
      <c r="A36" s="4" t="str">
        <f>$A$14</f>
        <v>As percentage of nominal GDP</v>
      </c>
      <c r="B36" s="19">
        <f t="shared" ref="B36:N36" si="12">B$35/B$9</f>
        <v>0.30275276169094573</v>
      </c>
      <c r="C36" s="19">
        <f t="shared" si="12"/>
        <v>0.30975892851717035</v>
      </c>
      <c r="D36" s="19">
        <f t="shared" si="12"/>
        <v>0.30478692785126837</v>
      </c>
      <c r="E36" s="19">
        <f t="shared" si="12"/>
        <v>0.30023120347493004</v>
      </c>
      <c r="F36" s="19">
        <f t="shared" si="12"/>
        <v>0.28854647634627056</v>
      </c>
      <c r="G36" s="19">
        <f t="shared" si="12"/>
        <v>0.25794120786673919</v>
      </c>
      <c r="H36" s="19">
        <f t="shared" si="12"/>
        <v>0.25051505315737305</v>
      </c>
      <c r="I36" s="19">
        <f t="shared" si="12"/>
        <v>0.25604540679242477</v>
      </c>
      <c r="J36" s="19">
        <f t="shared" si="12"/>
        <v>0.26811027761397349</v>
      </c>
      <c r="K36" s="19">
        <f t="shared" si="12"/>
        <v>0.26014367208958378</v>
      </c>
      <c r="L36" s="19">
        <f t="shared" si="12"/>
        <v>0.2719625824936025</v>
      </c>
      <c r="M36" s="19">
        <f t="shared" si="12"/>
        <v>0.27332231430611165</v>
      </c>
      <c r="N36" s="19">
        <f t="shared" si="12"/>
        <v>0.2758515060900007</v>
      </c>
    </row>
    <row r="37" spans="1:14" ht="15" x14ac:dyDescent="0.25">
      <c r="A37" s="2" t="s">
        <v>705</v>
      </c>
      <c r="B37" s="7">
        <v>46.973999999999997</v>
      </c>
      <c r="C37" s="7">
        <v>50.502000000000002</v>
      </c>
      <c r="D37" s="7">
        <v>53.064</v>
      </c>
      <c r="E37" s="7">
        <v>56.372</v>
      </c>
      <c r="F37" s="7">
        <v>54.145000000000003</v>
      </c>
      <c r="G37" s="7">
        <v>50.347000000000001</v>
      </c>
      <c r="H37" s="7">
        <v>51.128</v>
      </c>
      <c r="I37" s="7">
        <v>54.664999999999999</v>
      </c>
      <c r="J37" s="7">
        <v>58.134</v>
      </c>
      <c r="K37" s="7">
        <v>60.968000000000004</v>
      </c>
      <c r="L37" s="7">
        <v>66.055000000000007</v>
      </c>
      <c r="M37" s="7">
        <v>69.668000000000006</v>
      </c>
      <c r="N37" s="7">
        <v>74.972999999999999</v>
      </c>
    </row>
    <row r="38" spans="1:14" x14ac:dyDescent="0.2">
      <c r="A38" s="4" t="str">
        <f>$A$14</f>
        <v>As percentage of nominal GDP</v>
      </c>
      <c r="B38" s="19">
        <f t="shared" ref="B38:N38" si="13">B$37/B$9</f>
        <v>0.29960201035793549</v>
      </c>
      <c r="C38" s="19">
        <f t="shared" si="13"/>
        <v>0.30689669840845424</v>
      </c>
      <c r="D38" s="19">
        <f t="shared" si="13"/>
        <v>0.30243307477045661</v>
      </c>
      <c r="E38" s="19">
        <f t="shared" si="13"/>
        <v>0.29824719196237259</v>
      </c>
      <c r="F38" s="19">
        <f t="shared" si="13"/>
        <v>0.28571805493258756</v>
      </c>
      <c r="G38" s="19">
        <f t="shared" si="13"/>
        <v>0.25592318288796151</v>
      </c>
      <c r="H38" s="19">
        <f t="shared" si="13"/>
        <v>0.24843054556762745</v>
      </c>
      <c r="I38" s="19">
        <f t="shared" si="13"/>
        <v>0.25411162038285251</v>
      </c>
      <c r="J38" s="19">
        <f t="shared" si="13"/>
        <v>0.26574692466983912</v>
      </c>
      <c r="K38" s="19">
        <f t="shared" si="13"/>
        <v>0.25762941052186772</v>
      </c>
      <c r="L38" s="19">
        <f t="shared" si="13"/>
        <v>0.26959133781461847</v>
      </c>
      <c r="M38" s="19">
        <f t="shared" si="13"/>
        <v>0.27030760157680733</v>
      </c>
      <c r="N38" s="19">
        <f t="shared" si="13"/>
        <v>0.27340456567719346</v>
      </c>
    </row>
    <row r="39" spans="1:14" ht="15" x14ac:dyDescent="0.25">
      <c r="A39" s="2" t="s">
        <v>654</v>
      </c>
      <c r="B39" s="7">
        <v>54.24</v>
      </c>
      <c r="C39" s="7">
        <v>83.971000000000004</v>
      </c>
      <c r="D39" s="7">
        <v>96.826999999999998</v>
      </c>
      <c r="E39" s="7">
        <v>105.514</v>
      </c>
      <c r="F39" s="7">
        <v>99.515000000000001</v>
      </c>
      <c r="G39" s="7">
        <v>94.988</v>
      </c>
      <c r="H39" s="7">
        <v>80.887</v>
      </c>
      <c r="I39" s="7">
        <v>59.78</v>
      </c>
      <c r="J39" s="7">
        <v>70.010999999999996</v>
      </c>
      <c r="K39" s="7">
        <v>80.697000000000003</v>
      </c>
      <c r="L39" s="7">
        <v>92.236000000000004</v>
      </c>
      <c r="M39" s="7">
        <v>95.521000000000001</v>
      </c>
      <c r="N39" s="7">
        <v>116.47199999999999</v>
      </c>
    </row>
    <row r="40" spans="1:14" x14ac:dyDescent="0.2">
      <c r="A40" s="4" t="str">
        <f>$A$14</f>
        <v>As percentage of nominal GDP</v>
      </c>
      <c r="B40" s="19">
        <f t="shared" ref="B40:N40" si="14">B$39/B$9</f>
        <v>0.34594484271755488</v>
      </c>
      <c r="C40" s="19">
        <f t="shared" si="14"/>
        <v>0.51028518993418703</v>
      </c>
      <c r="D40" s="19">
        <f t="shared" si="14"/>
        <v>0.55185601030451903</v>
      </c>
      <c r="E40" s="19">
        <f t="shared" si="14"/>
        <v>0.55824264196263707</v>
      </c>
      <c r="F40" s="19">
        <f t="shared" si="14"/>
        <v>0.5251312630273608</v>
      </c>
      <c r="G40" s="19">
        <f t="shared" si="14"/>
        <v>0.48284170449404501</v>
      </c>
      <c r="H40" s="19">
        <f t="shared" si="14"/>
        <v>0.39302929000408154</v>
      </c>
      <c r="I40" s="19">
        <f t="shared" si="14"/>
        <v>0.27788882587554969</v>
      </c>
      <c r="J40" s="19">
        <f t="shared" si="14"/>
        <v>0.32004004443286382</v>
      </c>
      <c r="K40" s="19">
        <f t="shared" si="14"/>
        <v>0.34099725332769915</v>
      </c>
      <c r="L40" s="19">
        <f t="shared" si="14"/>
        <v>0.37644427575004386</v>
      </c>
      <c r="M40" s="19">
        <f t="shared" si="14"/>
        <v>0.37061566874631408</v>
      </c>
      <c r="N40" s="19">
        <f t="shared" si="14"/>
        <v>0.42473926044781557</v>
      </c>
    </row>
    <row r="41" spans="1:14" ht="15" x14ac:dyDescent="0.25">
      <c r="A41" s="2" t="s">
        <v>703</v>
      </c>
      <c r="B41" s="7">
        <v>54.024999999999999</v>
      </c>
      <c r="C41" s="7">
        <v>83.677999999999997</v>
      </c>
      <c r="D41" s="7">
        <v>96.457999999999998</v>
      </c>
      <c r="E41" s="7">
        <v>105.13199999999999</v>
      </c>
      <c r="F41" s="7">
        <v>99.067999999999998</v>
      </c>
      <c r="G41" s="7">
        <v>94.585999999999999</v>
      </c>
      <c r="H41" s="7">
        <v>80.578999999999994</v>
      </c>
      <c r="I41" s="7">
        <v>59.347999999999999</v>
      </c>
      <c r="J41" s="7">
        <v>68.070999999999998</v>
      </c>
      <c r="K41" s="7">
        <v>75.486000000000004</v>
      </c>
      <c r="L41" s="7">
        <v>86.454000000000008</v>
      </c>
      <c r="M41" s="7">
        <v>89.366</v>
      </c>
      <c r="N41" s="7">
        <v>110.532</v>
      </c>
    </row>
    <row r="42" spans="1:14" x14ac:dyDescent="0.2">
      <c r="A42" s="4" t="str">
        <f>$A$14</f>
        <v>As percentage of nominal GDP</v>
      </c>
      <c r="B42" s="19">
        <f t="shared" ref="B42:N42" si="15">B$41/B$9</f>
        <v>0.34457356430339053</v>
      </c>
      <c r="C42" s="19">
        <f t="shared" si="15"/>
        <v>0.50850465188354188</v>
      </c>
      <c r="D42" s="19">
        <f t="shared" si="15"/>
        <v>0.54975293091754673</v>
      </c>
      <c r="E42" s="19">
        <f t="shared" si="15"/>
        <v>0.55622159556851181</v>
      </c>
      <c r="F42" s="19">
        <f t="shared" si="15"/>
        <v>0.52277248621408401</v>
      </c>
      <c r="G42" s="19">
        <f t="shared" si="15"/>
        <v>0.48079826358354472</v>
      </c>
      <c r="H42" s="19">
        <f t="shared" si="15"/>
        <v>0.39153272045246929</v>
      </c>
      <c r="I42" s="19">
        <f t="shared" si="15"/>
        <v>0.27588066306560927</v>
      </c>
      <c r="J42" s="19">
        <f t="shared" si="15"/>
        <v>0.31117175678949699</v>
      </c>
      <c r="K42" s="19">
        <f t="shared" si="15"/>
        <v>0.31897739277413906</v>
      </c>
      <c r="L42" s="19">
        <f t="shared" si="15"/>
        <v>0.35284610581220233</v>
      </c>
      <c r="M42" s="19">
        <f t="shared" si="15"/>
        <v>0.34673464320079461</v>
      </c>
      <c r="N42" s="19">
        <f t="shared" si="15"/>
        <v>0.40307782072788267</v>
      </c>
    </row>
    <row r="43" spans="1:14" ht="15" x14ac:dyDescent="0.25">
      <c r="A43" s="2" t="s">
        <v>268</v>
      </c>
      <c r="D43" s="7">
        <v>50.792999999999999</v>
      </c>
      <c r="E43" s="7">
        <v>56.982999999999997</v>
      </c>
      <c r="F43" s="7">
        <v>53.07</v>
      </c>
      <c r="G43" s="7">
        <v>44.668999999999997</v>
      </c>
      <c r="H43" s="7">
        <v>34.930999999999997</v>
      </c>
      <c r="I43" s="7">
        <v>23.370999999999999</v>
      </c>
      <c r="J43" s="7">
        <v>25.613</v>
      </c>
      <c r="K43" s="7">
        <v>28.675999999999998</v>
      </c>
      <c r="L43" s="7">
        <v>33.402000000000001</v>
      </c>
      <c r="M43" s="7">
        <v>36.619</v>
      </c>
      <c r="N43" s="7">
        <v>51.747999999999998</v>
      </c>
    </row>
    <row r="44" spans="1:14" x14ac:dyDescent="0.2">
      <c r="A44" s="4" t="str">
        <f>$A$14</f>
        <v>As percentage of nominal GDP</v>
      </c>
      <c r="D44" s="19">
        <f t="shared" ref="D44:N44" si="16">D$43/D$9</f>
        <v>0.2894897325270579</v>
      </c>
      <c r="E44" s="19">
        <f t="shared" si="16"/>
        <v>0.3014798080534995</v>
      </c>
      <c r="F44" s="19">
        <f t="shared" si="16"/>
        <v>0.28004538138835389</v>
      </c>
      <c r="G44" s="19">
        <f t="shared" si="16"/>
        <v>0.22706085082373031</v>
      </c>
      <c r="H44" s="19">
        <f t="shared" si="16"/>
        <v>0.16972945132261763</v>
      </c>
      <c r="I44" s="19">
        <f t="shared" si="16"/>
        <v>0.10864067831277134</v>
      </c>
      <c r="J44" s="19">
        <f t="shared" si="16"/>
        <v>0.11708425330389427</v>
      </c>
      <c r="K44" s="19">
        <f t="shared" si="16"/>
        <v>0.12117473061483203</v>
      </c>
      <c r="L44" s="19">
        <f t="shared" si="16"/>
        <v>0.13632412180279896</v>
      </c>
      <c r="M44" s="19">
        <f t="shared" si="16"/>
        <v>0.14207949219356242</v>
      </c>
      <c r="N44" s="19">
        <f t="shared" si="16"/>
        <v>0.18870979505506524</v>
      </c>
    </row>
    <row r="45" spans="1:14" ht="15" x14ac:dyDescent="0.25">
      <c r="A45" s="2" t="s">
        <v>704</v>
      </c>
      <c r="B45" s="7">
        <v>37.728000000000002</v>
      </c>
      <c r="C45" s="7">
        <v>40.003999999999998</v>
      </c>
      <c r="D45" s="7">
        <v>41.898000000000003</v>
      </c>
      <c r="E45" s="7">
        <v>46.11</v>
      </c>
      <c r="F45" s="7">
        <v>61.953000000000003</v>
      </c>
      <c r="G45" s="7">
        <v>69.733000000000004</v>
      </c>
      <c r="H45" s="7">
        <v>90.245000000000005</v>
      </c>
      <c r="I45" s="7">
        <v>100.53400000000001</v>
      </c>
      <c r="J45" s="7">
        <v>100.087</v>
      </c>
      <c r="K45" s="7">
        <v>103.419</v>
      </c>
      <c r="L45" s="7">
        <v>112.58</v>
      </c>
      <c r="M45" s="7">
        <v>113.956</v>
      </c>
      <c r="N45" s="7">
        <v>111.806</v>
      </c>
    </row>
    <row r="46" spans="1:14" x14ac:dyDescent="0.2">
      <c r="A46" s="4" t="str">
        <f>$A$14</f>
        <v>As percentage of nominal GDP</v>
      </c>
      <c r="B46" s="19">
        <f>B$45/B$9</f>
        <v>0.24063066050973289</v>
      </c>
      <c r="C46" s="19">
        <f t="shared" ref="C46:N46" si="17">C$45/C$9</f>
        <v>0.2431011746689597</v>
      </c>
      <c r="D46" s="19">
        <f t="shared" si="17"/>
        <v>0.23879355055654664</v>
      </c>
      <c r="E46" s="19">
        <f t="shared" si="17"/>
        <v>0.24395405558406655</v>
      </c>
      <c r="F46" s="19">
        <f t="shared" si="17"/>
        <v>0.32692013403340281</v>
      </c>
      <c r="G46" s="19">
        <f t="shared" si="17"/>
        <v>0.35446583336298526</v>
      </c>
      <c r="H46" s="19">
        <f t="shared" si="17"/>
        <v>0.43849973761442929</v>
      </c>
      <c r="I46" s="19">
        <f t="shared" si="17"/>
        <v>0.46733481466330734</v>
      </c>
      <c r="J46" s="19">
        <f t="shared" si="17"/>
        <v>0.45752593059879226</v>
      </c>
      <c r="K46" s="19">
        <f t="shared" si="17"/>
        <v>0.43701246566659624</v>
      </c>
      <c r="L46" s="19">
        <f t="shared" si="17"/>
        <v>0.4594745713597721</v>
      </c>
      <c r="M46" s="19">
        <f t="shared" si="17"/>
        <v>0.44214234720799583</v>
      </c>
      <c r="N46" s="19">
        <f t="shared" si="17"/>
        <v>0.40772372547589519</v>
      </c>
    </row>
    <row r="48" spans="1:14" ht="16.5" x14ac:dyDescent="0.25">
      <c r="A48" s="54" t="s">
        <v>893</v>
      </c>
    </row>
    <row r="49" spans="1:14" x14ac:dyDescent="0.2">
      <c r="A49" s="1" t="s">
        <v>158</v>
      </c>
      <c r="B49" s="6">
        <v>14.535</v>
      </c>
      <c r="C49" s="6">
        <v>15.451000000000001</v>
      </c>
      <c r="D49" s="6">
        <v>16.620999999999999</v>
      </c>
      <c r="E49" s="6">
        <v>17.73</v>
      </c>
      <c r="F49" s="6">
        <v>19.189</v>
      </c>
      <c r="G49" s="6">
        <v>20.814</v>
      </c>
      <c r="H49" s="6">
        <v>21.724</v>
      </c>
      <c r="I49" s="6">
        <v>21.956</v>
      </c>
      <c r="J49" s="6">
        <v>22.459</v>
      </c>
      <c r="K49" s="6">
        <v>23.026</v>
      </c>
      <c r="L49" s="6">
        <v>23.523</v>
      </c>
      <c r="M49" s="6">
        <v>24.081</v>
      </c>
      <c r="N49" s="6">
        <v>25.294</v>
      </c>
    </row>
    <row r="50" spans="1:14" x14ac:dyDescent="0.2">
      <c r="A50" s="1" t="s">
        <v>159</v>
      </c>
      <c r="B50" s="6">
        <v>0.71799999999999997</v>
      </c>
      <c r="C50" s="6">
        <v>0.76100000000000001</v>
      </c>
      <c r="D50" s="6">
        <v>0.64500000000000002</v>
      </c>
      <c r="E50" s="6">
        <v>0.69</v>
      </c>
      <c r="F50" s="6">
        <v>0.65500000000000003</v>
      </c>
      <c r="G50" s="6">
        <v>0.32800000000000001</v>
      </c>
      <c r="H50" s="6">
        <v>0.30499999999999999</v>
      </c>
      <c r="I50" s="6">
        <v>0.192</v>
      </c>
      <c r="J50" s="6">
        <v>0.27800000000000002</v>
      </c>
      <c r="K50" s="6">
        <v>0.28199999999999997</v>
      </c>
      <c r="L50" s="6">
        <v>0.35799999999999998</v>
      </c>
      <c r="M50" s="6">
        <v>0.27100000000000002</v>
      </c>
      <c r="N50" s="6">
        <v>0.217</v>
      </c>
    </row>
    <row r="51" spans="1:14" x14ac:dyDescent="0.2">
      <c r="A51" s="1" t="s">
        <v>160</v>
      </c>
      <c r="B51" s="6">
        <v>8.8130000000000006</v>
      </c>
      <c r="C51" s="6">
        <v>9.5470000000000006</v>
      </c>
      <c r="D51" s="6">
        <v>10.355</v>
      </c>
      <c r="E51" s="6">
        <v>11.297000000000001</v>
      </c>
      <c r="F51" s="6">
        <v>12.368</v>
      </c>
      <c r="G51" s="6">
        <v>13.128</v>
      </c>
      <c r="H51" s="6">
        <v>13.753</v>
      </c>
      <c r="I51" s="6">
        <v>14.16</v>
      </c>
      <c r="J51" s="6">
        <v>14.497999999999999</v>
      </c>
      <c r="K51" s="6">
        <v>14.898</v>
      </c>
      <c r="L51" s="6">
        <v>15.058</v>
      </c>
      <c r="M51" s="6">
        <v>15.625999999999999</v>
      </c>
      <c r="N51" s="6">
        <v>16.222999999999999</v>
      </c>
    </row>
    <row r="52" spans="1:14" x14ac:dyDescent="0.2">
      <c r="A52" s="1" t="s">
        <v>161</v>
      </c>
      <c r="B52" s="6">
        <v>7.93</v>
      </c>
      <c r="C52" s="6">
        <v>9.9139999999999997</v>
      </c>
      <c r="D52" s="6">
        <v>9.2690000000000001</v>
      </c>
      <c r="E52" s="6">
        <v>9.5510000000000002</v>
      </c>
      <c r="F52" s="6">
        <v>11.455</v>
      </c>
      <c r="G52" s="6">
        <v>11.724</v>
      </c>
      <c r="H52" s="6">
        <v>11.65</v>
      </c>
      <c r="I52" s="6">
        <v>11.654</v>
      </c>
      <c r="J52" s="6">
        <v>12.504</v>
      </c>
      <c r="K52" s="6">
        <v>12.3</v>
      </c>
      <c r="L52" s="6">
        <v>12.879</v>
      </c>
      <c r="M52" s="6">
        <v>13.157999999999999</v>
      </c>
      <c r="N52" s="6">
        <v>13.281000000000001</v>
      </c>
    </row>
    <row r="53" spans="1:14" x14ac:dyDescent="0.2">
      <c r="A53" s="1" t="s">
        <v>162</v>
      </c>
      <c r="B53" s="6">
        <v>2.5670000000000002</v>
      </c>
      <c r="C53" s="6">
        <v>2.5070000000000001</v>
      </c>
      <c r="D53" s="6">
        <v>4.8170000000000002</v>
      </c>
      <c r="E53" s="6">
        <v>3.371</v>
      </c>
      <c r="F53" s="6">
        <v>5.2930000000000001</v>
      </c>
      <c r="G53" s="6">
        <v>2.9740000000000002</v>
      </c>
      <c r="H53" s="6">
        <v>5.5629999999999997</v>
      </c>
      <c r="I53" s="6">
        <v>5.4279999999999999</v>
      </c>
      <c r="J53" s="6">
        <v>4.2939999999999996</v>
      </c>
      <c r="K53" s="6">
        <v>4.5019999999999998</v>
      </c>
      <c r="L53" s="6">
        <v>4.1340000000000003</v>
      </c>
      <c r="M53" s="6">
        <v>4.1020000000000003</v>
      </c>
      <c r="N53" s="6">
        <v>3.9569999999999999</v>
      </c>
    </row>
    <row r="54" spans="1:14" x14ac:dyDescent="0.2">
      <c r="A54" s="1" t="s">
        <v>163</v>
      </c>
      <c r="B54" s="6">
        <v>1.889</v>
      </c>
      <c r="C54" s="6">
        <v>2.1459999999999999</v>
      </c>
      <c r="D54" s="6">
        <v>2.6059999999999999</v>
      </c>
      <c r="E54" s="6">
        <v>2.7970000000000002</v>
      </c>
      <c r="F54" s="6">
        <v>2.992</v>
      </c>
      <c r="G54" s="6">
        <v>3.1030000000000002</v>
      </c>
      <c r="H54" s="6">
        <v>3.3119999999999998</v>
      </c>
      <c r="I54" s="6">
        <v>3.3380000000000001</v>
      </c>
      <c r="J54" s="6">
        <v>3.3940000000000001</v>
      </c>
      <c r="K54" s="6">
        <v>3.4630000000000001</v>
      </c>
      <c r="L54" s="6">
        <v>3.5150000000000001</v>
      </c>
      <c r="M54" s="6">
        <v>3.6480000000000001</v>
      </c>
      <c r="N54" s="6">
        <v>3.8820000000000001</v>
      </c>
    </row>
    <row r="55" spans="1:14" x14ac:dyDescent="0.2">
      <c r="A55" s="1" t="s">
        <v>164</v>
      </c>
      <c r="B55" s="6">
        <v>1.2749999999999999</v>
      </c>
      <c r="C55" s="6">
        <v>1.383</v>
      </c>
      <c r="D55" s="6">
        <v>1.5169999999999999</v>
      </c>
      <c r="E55" s="6">
        <v>1.5620000000000001</v>
      </c>
      <c r="F55" s="6">
        <v>1.7569999999999999</v>
      </c>
      <c r="G55" s="6">
        <v>1.8140000000000001</v>
      </c>
      <c r="H55" s="6">
        <v>1.8089999999999999</v>
      </c>
      <c r="I55" s="6">
        <v>1.736</v>
      </c>
      <c r="J55" s="6">
        <v>1.804</v>
      </c>
      <c r="K55" s="6">
        <v>1.8109999999999999</v>
      </c>
      <c r="L55" s="6">
        <v>1.9610000000000001</v>
      </c>
      <c r="M55" s="6">
        <v>2.0259999999999998</v>
      </c>
      <c r="N55" s="6">
        <v>2.1459999999999999</v>
      </c>
    </row>
    <row r="56" spans="1:14" x14ac:dyDescent="0.2">
      <c r="A56" s="1" t="s">
        <v>165</v>
      </c>
      <c r="B56" s="6">
        <v>1.635</v>
      </c>
      <c r="C56" s="6">
        <v>1.8180000000000001</v>
      </c>
      <c r="D56" s="6">
        <v>2.4049999999999998</v>
      </c>
      <c r="E56" s="6">
        <v>2.2440000000000002</v>
      </c>
      <c r="F56" s="6">
        <v>2.6629999999999998</v>
      </c>
      <c r="G56" s="6">
        <v>2.3450000000000002</v>
      </c>
      <c r="H56" s="6">
        <v>2.2810000000000001</v>
      </c>
      <c r="I56" s="6">
        <v>2.2320000000000002</v>
      </c>
      <c r="J56" s="6">
        <v>2.2549999999999999</v>
      </c>
      <c r="K56" s="6">
        <v>2.2370000000000001</v>
      </c>
      <c r="L56" s="6">
        <v>2.2909999999999999</v>
      </c>
      <c r="M56" s="6">
        <v>2.1779999999999999</v>
      </c>
      <c r="N56" s="6">
        <v>2.1760000000000002</v>
      </c>
    </row>
    <row r="57" spans="1:14" x14ac:dyDescent="0.2">
      <c r="A57" s="1" t="s">
        <v>166</v>
      </c>
      <c r="B57" s="6">
        <v>1.444</v>
      </c>
      <c r="C57" s="6">
        <v>1.5920000000000001</v>
      </c>
      <c r="D57" s="6">
        <v>1.595</v>
      </c>
      <c r="E57" s="6">
        <v>2.8889999999999998</v>
      </c>
      <c r="F57" s="6">
        <v>2.96</v>
      </c>
      <c r="G57" s="6">
        <v>2.806</v>
      </c>
      <c r="H57" s="6">
        <v>2.5419999999999998</v>
      </c>
      <c r="I57" s="6">
        <v>2.073</v>
      </c>
      <c r="J57" s="6">
        <v>1.978</v>
      </c>
      <c r="K57" s="6">
        <v>2.0579999999999998</v>
      </c>
      <c r="L57" s="6">
        <v>2.2280000000000002</v>
      </c>
      <c r="M57" s="6">
        <v>2.1070000000000002</v>
      </c>
      <c r="N57" s="6">
        <v>2.544</v>
      </c>
    </row>
    <row r="58" spans="1:14" x14ac:dyDescent="0.2">
      <c r="A58" s="1" t="s">
        <v>168</v>
      </c>
      <c r="B58" s="6">
        <v>0.68100000000000005</v>
      </c>
      <c r="C58" s="6">
        <v>0.84899999999999998</v>
      </c>
      <c r="D58" s="6">
        <v>0.52300000000000002</v>
      </c>
      <c r="E58" s="6">
        <v>0.56100000000000005</v>
      </c>
      <c r="F58" s="6">
        <v>0.58599999999999997</v>
      </c>
      <c r="G58" s="6">
        <v>0.63</v>
      </c>
      <c r="H58" s="6">
        <v>0.74099999999999999</v>
      </c>
      <c r="I58" s="6">
        <v>0.86299999999999999</v>
      </c>
      <c r="J58" s="6">
        <v>0.80400000000000005</v>
      </c>
      <c r="K58" s="6">
        <v>0.84199999999999997</v>
      </c>
      <c r="L58" s="6">
        <v>0.77800000000000002</v>
      </c>
      <c r="M58" s="6">
        <v>0.78700000000000003</v>
      </c>
      <c r="N58" s="6">
        <v>0.85</v>
      </c>
    </row>
    <row r="59" spans="1:14" x14ac:dyDescent="0.2">
      <c r="A59" s="1" t="s">
        <v>167</v>
      </c>
      <c r="B59" s="6">
        <v>0.39400000000000002</v>
      </c>
      <c r="C59" s="6">
        <v>0.46700000000000003</v>
      </c>
      <c r="D59" s="6">
        <v>0.438</v>
      </c>
      <c r="E59" s="6">
        <v>0.54100000000000004</v>
      </c>
      <c r="F59" s="6">
        <v>0.53400000000000003</v>
      </c>
      <c r="G59" s="6">
        <v>0.50700000000000001</v>
      </c>
      <c r="H59" s="6">
        <v>0.70599999999999996</v>
      </c>
      <c r="I59" s="6">
        <v>0.64800000000000002</v>
      </c>
      <c r="J59" s="6">
        <v>0.65900000000000003</v>
      </c>
      <c r="K59" s="6">
        <v>0.67600000000000005</v>
      </c>
      <c r="L59" s="6">
        <v>0.66700000000000004</v>
      </c>
      <c r="M59" s="6">
        <v>0.749</v>
      </c>
      <c r="N59" s="6">
        <v>0.64400000000000002</v>
      </c>
    </row>
    <row r="60" spans="1:14" x14ac:dyDescent="0.2">
      <c r="A60" s="1" t="s">
        <v>169</v>
      </c>
      <c r="B60" s="6">
        <v>0.16300000000000001</v>
      </c>
      <c r="C60" s="6">
        <v>0.20200000000000001</v>
      </c>
      <c r="D60" s="6">
        <v>0.255</v>
      </c>
      <c r="E60" s="6">
        <v>0.26</v>
      </c>
      <c r="F60" s="6">
        <v>0.29699999999999999</v>
      </c>
      <c r="G60" s="6">
        <v>0.33900000000000002</v>
      </c>
      <c r="H60" s="6">
        <v>0.94299999999999995</v>
      </c>
      <c r="I60" s="6">
        <v>-4.5999999999999999E-2</v>
      </c>
      <c r="J60" s="6">
        <v>0.28299999999999997</v>
      </c>
      <c r="K60" s="6">
        <v>0.34699999999999998</v>
      </c>
      <c r="L60" s="6">
        <v>0.32</v>
      </c>
      <c r="M60" s="6">
        <v>0.55800000000000005</v>
      </c>
      <c r="N60" s="6">
        <v>0.53900000000000003</v>
      </c>
    </row>
    <row r="61" spans="1:14" x14ac:dyDescent="0.2">
      <c r="A61" s="1" t="s">
        <v>170</v>
      </c>
      <c r="B61" s="6">
        <v>0.31</v>
      </c>
      <c r="C61" s="6">
        <v>4.2000000000000003E-2</v>
      </c>
      <c r="D61" s="6">
        <v>0.32100000000000001</v>
      </c>
      <c r="E61" s="6">
        <v>0.54600000000000004</v>
      </c>
      <c r="F61" s="6">
        <v>0.41599999999999998</v>
      </c>
      <c r="G61" s="6">
        <v>0.65100000000000002</v>
      </c>
      <c r="H61" s="6">
        <v>1.2250000000000001</v>
      </c>
      <c r="I61" s="6">
        <v>0.76900000000000002</v>
      </c>
      <c r="J61" s="6">
        <v>0.53</v>
      </c>
      <c r="K61" s="6">
        <v>0.53300000000000003</v>
      </c>
      <c r="L61" s="6">
        <v>0.72299999999999998</v>
      </c>
      <c r="M61" s="6">
        <v>0.58699999999999997</v>
      </c>
      <c r="N61" s="6">
        <v>0.871</v>
      </c>
    </row>
    <row r="62" spans="1:14" x14ac:dyDescent="0.2">
      <c r="A62" s="1" t="s">
        <v>171</v>
      </c>
      <c r="B62" s="6">
        <v>3.2000000000000001E-2</v>
      </c>
      <c r="C62" s="6">
        <v>4.9000000000000002E-2</v>
      </c>
      <c r="D62" s="6">
        <v>6.8000000000000005E-2</v>
      </c>
      <c r="E62" s="6">
        <v>0.254</v>
      </c>
      <c r="F62" s="6">
        <v>0.11700000000000001</v>
      </c>
      <c r="G62" s="6">
        <v>0.08</v>
      </c>
      <c r="H62" s="6">
        <v>0.47899999999999998</v>
      </c>
      <c r="I62" s="6">
        <v>0.42499999999999999</v>
      </c>
      <c r="J62" s="6">
        <v>0.60299999999999998</v>
      </c>
      <c r="K62" s="6">
        <v>0.57899999999999996</v>
      </c>
      <c r="L62" s="6">
        <v>0.14499999999999999</v>
      </c>
      <c r="M62" s="6">
        <v>0.46100000000000002</v>
      </c>
      <c r="N62" s="6">
        <v>0.18099999999999999</v>
      </c>
    </row>
    <row r="63" spans="1:14" x14ac:dyDescent="0.2">
      <c r="A63" s="1" t="s">
        <v>172</v>
      </c>
      <c r="B63" s="6">
        <v>2.274</v>
      </c>
      <c r="C63" s="6">
        <v>2.3559999999999999</v>
      </c>
      <c r="D63" s="6">
        <v>2.3290000000000002</v>
      </c>
      <c r="E63" s="6">
        <v>2.46</v>
      </c>
      <c r="F63" s="6">
        <v>2.4289999999999998</v>
      </c>
      <c r="G63" s="6">
        <v>2.3109999999999999</v>
      </c>
      <c r="H63" s="6">
        <v>3.0659999999999998</v>
      </c>
      <c r="I63" s="6">
        <v>3.5110000000000001</v>
      </c>
      <c r="J63" s="6">
        <v>3.6190000000000002</v>
      </c>
      <c r="K63" s="6">
        <v>3.62</v>
      </c>
      <c r="L63" s="6">
        <v>3.7829999999999999</v>
      </c>
      <c r="M63" s="6">
        <v>3.59</v>
      </c>
      <c r="N63" s="6">
        <v>3.5339999999999998</v>
      </c>
    </row>
    <row r="64" spans="1:14" ht="15" x14ac:dyDescent="0.25">
      <c r="A64" s="2" t="s">
        <v>715</v>
      </c>
      <c r="B64" s="27">
        <f>SUM(B$49:B$63)</f>
        <v>44.66</v>
      </c>
      <c r="C64" s="27">
        <f t="shared" ref="C64:N64" si="18">SUM(C$49:C$63)</f>
        <v>49.083999999999996</v>
      </c>
      <c r="D64" s="27">
        <f t="shared" si="18"/>
        <v>53.76400000000001</v>
      </c>
      <c r="E64" s="27">
        <f t="shared" si="18"/>
        <v>56.752999999999993</v>
      </c>
      <c r="F64" s="27">
        <f t="shared" si="18"/>
        <v>63.710999999999984</v>
      </c>
      <c r="G64" s="27">
        <f t="shared" si="18"/>
        <v>63.554000000000002</v>
      </c>
      <c r="H64" s="27">
        <f t="shared" si="18"/>
        <v>70.09899999999999</v>
      </c>
      <c r="I64" s="27">
        <f t="shared" si="18"/>
        <v>68.938999999999993</v>
      </c>
      <c r="J64" s="27">
        <f t="shared" si="18"/>
        <v>69.962000000000003</v>
      </c>
      <c r="K64" s="27">
        <f t="shared" si="18"/>
        <v>71.173999999999992</v>
      </c>
      <c r="L64" s="27">
        <f t="shared" si="18"/>
        <v>72.362999999999985</v>
      </c>
      <c r="M64" s="27">
        <f t="shared" si="18"/>
        <v>73.929000000000016</v>
      </c>
      <c r="N64" s="27">
        <f t="shared" si="18"/>
        <v>76.338999999999984</v>
      </c>
    </row>
    <row r="65" spans="1:14" x14ac:dyDescent="0.2">
      <c r="A65" s="4" t="str">
        <f>$A$14</f>
        <v>As percentage of nominal GDP</v>
      </c>
      <c r="B65" s="19">
        <f t="shared" ref="B65:N65" si="19">B$64/B$9</f>
        <v>0.28484322779804572</v>
      </c>
      <c r="C65" s="19">
        <f t="shared" si="19"/>
        <v>0.29827962347393305</v>
      </c>
      <c r="D65" s="19">
        <f t="shared" si="19"/>
        <v>0.30642265626335802</v>
      </c>
      <c r="E65" s="19">
        <f t="shared" si="19"/>
        <v>0.30026294765913092</v>
      </c>
      <c r="F65" s="19">
        <f t="shared" si="19"/>
        <v>0.33619693411783325</v>
      </c>
      <c r="G65" s="19">
        <f t="shared" si="19"/>
        <v>0.32305682494014548</v>
      </c>
      <c r="H65" s="19">
        <f t="shared" si="19"/>
        <v>0.34061048376124853</v>
      </c>
      <c r="I65" s="19">
        <f t="shared" si="19"/>
        <v>0.32046466656130007</v>
      </c>
      <c r="J65" s="19">
        <f t="shared" si="19"/>
        <v>0.31981605160063448</v>
      </c>
      <c r="K65" s="19">
        <f t="shared" si="19"/>
        <v>0.30075639129516157</v>
      </c>
      <c r="L65" s="19">
        <f t="shared" si="19"/>
        <v>0.29533628004358842</v>
      </c>
      <c r="M65" s="19">
        <f t="shared" si="19"/>
        <v>0.28684002234844963</v>
      </c>
      <c r="N65" s="19">
        <f t="shared" si="19"/>
        <v>0.27838596747137329</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Display</vt:lpstr>
      <vt:lpstr>Guide</vt:lpstr>
      <vt:lpstr>Sources</vt:lpstr>
      <vt:lpstr>Population</vt:lpstr>
      <vt:lpstr>Labour Force</vt:lpstr>
      <vt:lpstr>Exogenous</vt:lpstr>
      <vt:lpstr>NZS Fund Adjuster</vt:lpstr>
      <vt:lpstr>Fiscal Forecast Adjuster</vt:lpstr>
      <vt:lpstr>Fiscal Outturns</vt:lpstr>
      <vt:lpstr>Economic Forecasts</vt:lpstr>
      <vt:lpstr>Fiscal Forecasts</vt:lpstr>
      <vt:lpstr>Assumptions</vt:lpstr>
      <vt:lpstr>2018 BEFU FSM</vt:lpstr>
      <vt:lpstr>Option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Fiscal Strategy Model - BEFU 2017 Update - 13 December 2017</dc:title>
  <dc:creator/>
  <cp:lastModifiedBy/>
  <dcterms:created xsi:type="dcterms:W3CDTF">2017-05-22T02:56:25Z</dcterms:created>
  <dcterms:modified xsi:type="dcterms:W3CDTF">2018-05-15T04:09:51Z</dcterms:modified>
</cp:coreProperties>
</file>